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charts/chart11.xml" ContentType="application/vnd.openxmlformats-officedocument.drawingml.chart+xml"/>
  <Override PartName="/xl/drawings/drawing20.xml" ContentType="application/vnd.openxmlformats-officedocument.drawingml.chartshapes+xml"/>
  <Override PartName="/xl/charts/chart12.xml" ContentType="application/vnd.openxmlformats-officedocument.drawingml.chart+xml"/>
  <Override PartName="/xl/drawings/drawing21.xml" ContentType="application/vnd.openxmlformats-officedocument.drawingml.chartshapes+xml"/>
  <Override PartName="/xl/charts/chart13.xml" ContentType="application/vnd.openxmlformats-officedocument.drawingml.chart+xml"/>
  <Override PartName="/xl/drawings/drawing22.xml" ContentType="application/vnd.openxmlformats-officedocument.drawingml.chartshapes+xml"/>
  <Override PartName="/xl/charts/chart14.xml" ContentType="application/vnd.openxmlformats-officedocument.drawingml.chart+xml"/>
  <Override PartName="/xl/drawings/drawing23.xml" ContentType="application/vnd.openxmlformats-officedocument.drawingml.chartshapes+xml"/>
  <Override PartName="/xl/charts/chart1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charts/chart16.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drawings/drawing31.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ml.chartshapes+xml"/>
  <Override PartName="/xl/charts/chart20.xml" ContentType="application/vnd.openxmlformats-officedocument.drawingml.chart+xml"/>
  <Override PartName="/xl/charts/style1.xml" ContentType="application/vnd.ms-office.chartstyle+xml"/>
  <Override PartName="/xl/charts/colors1.xml" ContentType="application/vnd.ms-office.chartcolorstyle+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omments2.xml" ContentType="application/vnd.openxmlformats-officedocument.spreadsheetml.comments+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xml"/>
  <Override PartName="/xl/comments3.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charts/chart45.xml" ContentType="application/vnd.openxmlformats-officedocument.drawingml.chart+xml"/>
  <Override PartName="/xl/charts/style16.xml" ContentType="application/vnd.ms-office.chartstyle+xml"/>
  <Override PartName="/xl/charts/colors16.xml" ContentType="application/vnd.ms-office.chartcolorstyle+xml"/>
  <Override PartName="/xl/charts/chart46.xml" ContentType="application/vnd.openxmlformats-officedocument.drawingml.chart+xml"/>
  <Override PartName="/xl/charts/style17.xml" ContentType="application/vnd.ms-office.chartstyle+xml"/>
  <Override PartName="/xl/charts/colors17.xml" ContentType="application/vnd.ms-office.chartcolorstyle+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charts/chart48.xml" ContentType="application/vnd.openxmlformats-officedocument.drawingml.chart+xml"/>
  <Override PartName="/xl/charts/style19.xml" ContentType="application/vnd.ms-office.chartstyle+xml"/>
  <Override PartName="/xl/charts/colors19.xml" ContentType="application/vnd.ms-office.chartcolorstyle+xml"/>
  <Override PartName="/xl/charts/chart49.xml" ContentType="application/vnd.openxmlformats-officedocument.drawingml.chart+xml"/>
  <Override PartName="/xl/charts/style20.xml" ContentType="application/vnd.ms-office.chartstyle+xml"/>
  <Override PartName="/xl/charts/colors20.xml" ContentType="application/vnd.ms-office.chartcolorstyle+xml"/>
  <Override PartName="/xl/charts/chart50.xml" ContentType="application/vnd.openxmlformats-officedocument.drawingml.chart+xml"/>
  <Override PartName="/xl/charts/style21.xml" ContentType="application/vnd.ms-office.chartstyle+xml"/>
  <Override PartName="/xl/charts/colors21.xml" ContentType="application/vnd.ms-office.chartcolorstyle+xml"/>
  <Override PartName="/xl/charts/chart51.xml" ContentType="application/vnd.openxmlformats-officedocument.drawingml.chart+xml"/>
  <Override PartName="/xl/charts/style22.xml" ContentType="application/vnd.ms-office.chartstyle+xml"/>
  <Override PartName="/xl/charts/colors22.xml" ContentType="application/vnd.ms-office.chartcolorstyle+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5.xml" ContentType="application/vnd.openxmlformats-officedocument.drawing+xml"/>
  <Override PartName="/xl/charts/chart55.xml" ContentType="application/vnd.openxmlformats-officedocument.drawingml.chart+xml"/>
  <Override PartName="/xl/drawings/drawing36.xml" ContentType="application/vnd.openxmlformats-officedocument.drawingml.chartshapes+xml"/>
  <Override PartName="/xl/charts/chart56.xml" ContentType="application/vnd.openxmlformats-officedocument.drawingml.chart+xml"/>
  <Override PartName="/xl/drawings/drawing37.xml" ContentType="application/vnd.openxmlformats-officedocument.drawingml.chartshapes+xml"/>
  <Override PartName="/xl/charts/chart57.xml" ContentType="application/vnd.openxmlformats-officedocument.drawingml.chart+xml"/>
  <Override PartName="/xl/drawings/drawing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Questa_cartella_di_lavoro" defaultThemeVersion="124226"/>
  <mc:AlternateContent xmlns:mc="http://schemas.openxmlformats.org/markup-compatibility/2006">
    <mc:Choice Requires="x15">
      <x15ac:absPath xmlns:x15ac="http://schemas.microsoft.com/office/spreadsheetml/2010/11/ac" url="E:\Antonio\Fattore emissione E.E\FE 2025\"/>
    </mc:Choice>
  </mc:AlternateContent>
  <xr:revisionPtr revIDLastSave="0" documentId="13_ncr:1_{CA6C4F84-EAD2-4662-A043-57DC9DA72401}" xr6:coauthVersionLast="47" xr6:coauthVersionMax="47" xr10:uidLastSave="{00000000-0000-0000-0000-000000000000}"/>
  <workbookProtection workbookAlgorithmName="SHA-512" workbookHashValue="GLdqDaQ0q/gYbJKyGbgpoDuuagf5i+t+vlyNLkk5UKk159eJ0h/EtaM/6NVrs7/PNr2N04Dps0ydjI2bXRgFrg==" workbookSaltValue="+5V66aPeTe/3WNBN0yqYeg==" workbookSpinCount="100000" lockStructure="1"/>
  <bookViews>
    <workbookView xWindow="-108" yWindow="-108" windowWidth="23256" windowHeight="12576" tabRatio="841" xr2:uid="{00000000-000D-0000-FFFF-FFFF00000000}"/>
  </bookViews>
  <sheets>
    <sheet name="Copertina" sheetId="40" r:id="rId1"/>
    <sheet name="Indice" sheetId="21" r:id="rId2"/>
    <sheet name="0" sheetId="25" r:id="rId3"/>
    <sheet name="1" sheetId="1" r:id="rId4"/>
    <sheet name="2" sheetId="2" r:id="rId5"/>
    <sheet name="3" sheetId="3" r:id="rId6"/>
    <sheet name="4" sheetId="10" r:id="rId7"/>
    <sheet name="5" sheetId="8" r:id="rId8"/>
    <sheet name="6" sheetId="20" r:id="rId9"/>
    <sheet name="7" sheetId="4" r:id="rId10"/>
    <sheet name="8" sheetId="11" r:id="rId11"/>
    <sheet name="9" sheetId="13" r:id="rId12"/>
    <sheet name="10" sheetId="14" r:id="rId13"/>
    <sheet name="11" sheetId="16" r:id="rId14"/>
    <sheet name="12" sheetId="15" r:id="rId15"/>
    <sheet name="13" sheetId="19" r:id="rId16"/>
    <sheet name="14" sheetId="18" r:id="rId17"/>
    <sheet name="15" sheetId="17" r:id="rId18"/>
    <sheet name="16" sheetId="22" r:id="rId19"/>
    <sheet name="17" sheetId="26" r:id="rId20"/>
    <sheet name="18" sheetId="33" r:id="rId21"/>
    <sheet name="19" sheetId="36" r:id="rId22"/>
    <sheet name="20" sheetId="28" r:id="rId23"/>
    <sheet name="21" sheetId="31" r:id="rId24"/>
    <sheet name="22" sheetId="32" r:id="rId25"/>
    <sheet name="23" sheetId="27" r:id="rId26"/>
    <sheet name="24" sheetId="34" r:id="rId27"/>
    <sheet name="5-x" sheetId="6" state="hidden" r:id="rId28"/>
    <sheet name="6-x" sheetId="9" state="hidden" r:id="rId29"/>
    <sheet name="6-y" sheetId="35" state="hidden" r:id="rId30"/>
    <sheet name="25x" sheetId="24" state="hidden" r:id="rId31"/>
    <sheet name="lorda" sheetId="37" state="hidden" r:id="rId32"/>
    <sheet name="Other" sheetId="38" state="hidden" r:id="rId33"/>
  </sheets>
  <definedNames>
    <definedName name="_ftn1" localSheetId="10">'8'!#REF!</definedName>
    <definedName name="_ftn2" localSheetId="10">'8'!#REF!</definedName>
    <definedName name="_ftn3" localSheetId="10">'8'!#REF!</definedName>
    <definedName name="_ftn4" localSheetId="10">'8'!#REF!</definedName>
    <definedName name="_ftnref1" localSheetId="10">'8'!#REF!</definedName>
    <definedName name="_ftnref2" localSheetId="10">'8'!#REF!</definedName>
    <definedName name="_ftnref3" localSheetId="10">'8'!#REF!</definedName>
    <definedName name="_ftnref4" localSheetId="10">'8'!#REF!</definedName>
    <definedName name="solver_adj" localSheetId="27" hidden="1">'5-x'!$K$54:$K$55</definedName>
    <definedName name="solver_adj" localSheetId="28" hidden="1">'6-x'!$L$763</definedName>
    <definedName name="solver_adj" localSheetId="29" hidden="1">'6-y'!#REF!,'6-y'!#REF!</definedName>
    <definedName name="solver_cvg" localSheetId="27" hidden="1">0.0001</definedName>
    <definedName name="solver_cvg" localSheetId="28" hidden="1">0.0001</definedName>
    <definedName name="solver_cvg" localSheetId="29" hidden="1">0.0001</definedName>
    <definedName name="solver_drv" localSheetId="27" hidden="1">1</definedName>
    <definedName name="solver_drv" localSheetId="28" hidden="1">1</definedName>
    <definedName name="solver_drv" localSheetId="29" hidden="1">1</definedName>
    <definedName name="solver_est" localSheetId="27" hidden="1">1</definedName>
    <definedName name="solver_est" localSheetId="28" hidden="1">1</definedName>
    <definedName name="solver_est" localSheetId="29" hidden="1">1</definedName>
    <definedName name="solver_itr" localSheetId="27" hidden="1">100</definedName>
    <definedName name="solver_itr" localSheetId="28" hidden="1">100</definedName>
    <definedName name="solver_itr" localSheetId="29" hidden="1">100</definedName>
    <definedName name="solver_lhs1" localSheetId="28" hidden="1">'6-x'!$X$1009</definedName>
    <definedName name="solver_lhs1" localSheetId="29" hidden="1">'6-y'!#REF!</definedName>
    <definedName name="solver_lin" localSheetId="27" hidden="1">2</definedName>
    <definedName name="solver_lin" localSheetId="28" hidden="1">2</definedName>
    <definedName name="solver_lin" localSheetId="29" hidden="1">2</definedName>
    <definedName name="solver_neg" localSheetId="27" hidden="1">2</definedName>
    <definedName name="solver_neg" localSheetId="28" hidden="1">2</definedName>
    <definedName name="solver_neg" localSheetId="29" hidden="1">2</definedName>
    <definedName name="solver_num" localSheetId="27" hidden="1">0</definedName>
    <definedName name="solver_num" localSheetId="28" hidden="1">0</definedName>
    <definedName name="solver_num" localSheetId="29" hidden="1">1</definedName>
    <definedName name="solver_nwt" localSheetId="27" hidden="1">1</definedName>
    <definedName name="solver_nwt" localSheetId="28" hidden="1">1</definedName>
    <definedName name="solver_nwt" localSheetId="29" hidden="1">1</definedName>
    <definedName name="solver_opt" localSheetId="27" hidden="1">'5-x'!$J$53</definedName>
    <definedName name="solver_opt" localSheetId="28" hidden="1">'6-x'!$M$763</definedName>
    <definedName name="solver_opt" localSheetId="29" hidden="1">'6-y'!#REF!</definedName>
    <definedName name="solver_pre" localSheetId="27" hidden="1">0.000001</definedName>
    <definedName name="solver_pre" localSheetId="28" hidden="1">0.00000001</definedName>
    <definedName name="solver_pre" localSheetId="29" hidden="1">0.000001</definedName>
    <definedName name="solver_rel1" localSheetId="28" hidden="1">2</definedName>
    <definedName name="solver_rel1" localSheetId="29" hidden="1">2</definedName>
    <definedName name="solver_rhs1" localSheetId="28" hidden="1">0</definedName>
    <definedName name="solver_rhs1" localSheetId="29" hidden="1">0</definedName>
    <definedName name="solver_scl" localSheetId="27" hidden="1">2</definedName>
    <definedName name="solver_scl" localSheetId="28" hidden="1">2</definedName>
    <definedName name="solver_scl" localSheetId="29" hidden="1">2</definedName>
    <definedName name="solver_sho" localSheetId="27" hidden="1">2</definedName>
    <definedName name="solver_sho" localSheetId="28" hidden="1">2</definedName>
    <definedName name="solver_sho" localSheetId="29" hidden="1">2</definedName>
    <definedName name="solver_tim" localSheetId="27" hidden="1">100</definedName>
    <definedName name="solver_tim" localSheetId="28" hidden="1">100</definedName>
    <definedName name="solver_tim" localSheetId="29" hidden="1">100</definedName>
    <definedName name="solver_tol" localSheetId="27" hidden="1">0.05</definedName>
    <definedName name="solver_tol" localSheetId="28" hidden="1">0.05</definedName>
    <definedName name="solver_tol" localSheetId="29" hidden="1">0.05</definedName>
    <definedName name="solver_typ" localSheetId="27" hidden="1">3</definedName>
    <definedName name="solver_typ" localSheetId="28" hidden="1">3</definedName>
    <definedName name="solver_typ" localSheetId="29" hidden="1">3</definedName>
    <definedName name="solver_val" localSheetId="27" hidden="1">0</definedName>
    <definedName name="solver_val" localSheetId="28" hidden="1">0.88392924</definedName>
    <definedName name="solver_val" localSheetId="29" hidden="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8" i="37" l="1"/>
  <c r="W10" i="37"/>
  <c r="W7" i="37"/>
  <c r="AE4" i="6" l="1"/>
  <c r="AC3" i="24"/>
  <c r="AC20" i="24" s="1"/>
  <c r="AB67" i="24"/>
  <c r="AC67" i="24" s="1"/>
  <c r="AC50" i="24"/>
  <c r="AC49" i="24"/>
  <c r="AC48" i="24"/>
  <c r="AC47" i="24"/>
  <c r="AC31" i="24"/>
  <c r="AD3" i="24" l="1"/>
  <c r="AE3" i="24" s="1"/>
  <c r="AE20" i="24" s="1"/>
  <c r="AC80" i="24"/>
  <c r="AC39" i="24"/>
  <c r="AC78" i="24"/>
  <c r="AC79" i="24"/>
  <c r="AC46" i="24"/>
  <c r="AC71" i="24"/>
  <c r="AC76" i="24"/>
  <c r="L19" i="36" l="1"/>
  <c r="L18" i="36"/>
  <c r="L7" i="36"/>
  <c r="L6" i="36"/>
  <c r="L17" i="36"/>
  <c r="L16" i="36"/>
  <c r="L15" i="36"/>
  <c r="L14" i="36"/>
  <c r="B224" i="11" l="1"/>
  <c r="B223" i="11"/>
  <c r="B222" i="11"/>
  <c r="B221" i="11"/>
  <c r="B220" i="11"/>
  <c r="B219" i="11"/>
  <c r="V29" i="19"/>
  <c r="AI25" i="19"/>
  <c r="Q29" i="19"/>
  <c r="AG29" i="19"/>
  <c r="AH29" i="19"/>
  <c r="AI29" i="19"/>
  <c r="AA29" i="19"/>
  <c r="L29" i="19"/>
  <c r="AF29" i="19"/>
  <c r="AH21" i="19" l="1"/>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D21" i="19"/>
  <c r="C21" i="19"/>
  <c r="B21" i="19"/>
  <c r="AI14" i="4"/>
  <c r="AF12" i="4"/>
  <c r="AF21" i="19" s="1"/>
  <c r="AG12" i="4"/>
  <c r="AG21" i="19" s="1"/>
  <c r="AI12" i="4"/>
  <c r="U27" i="19" l="1"/>
  <c r="T27" i="19"/>
  <c r="S27" i="19"/>
  <c r="R27" i="19"/>
  <c r="U22" i="19"/>
  <c r="T22" i="19"/>
  <c r="S22" i="19"/>
  <c r="R22" i="19"/>
  <c r="AB27" i="19"/>
  <c r="AE22" i="19"/>
  <c r="AE27" i="19"/>
  <c r="AD22" i="19"/>
  <c r="AD27" i="19"/>
  <c r="AC22" i="19"/>
  <c r="AC27" i="19"/>
  <c r="AB22" i="19"/>
  <c r="P22" i="19"/>
  <c r="F22" i="19"/>
  <c r="C27" i="19"/>
  <c r="K27" i="19"/>
  <c r="M22" i="19"/>
  <c r="H27" i="19"/>
  <c r="D27" i="19"/>
  <c r="O22" i="19"/>
  <c r="E22" i="19"/>
  <c r="J27" i="19"/>
  <c r="B27" i="19"/>
  <c r="D22" i="19"/>
  <c r="I27" i="19"/>
  <c r="C22" i="19"/>
  <c r="N22" i="19"/>
  <c r="J22" i="19"/>
  <c r="B22" i="19"/>
  <c r="P27" i="19"/>
  <c r="G27" i="19"/>
  <c r="I22" i="19"/>
  <c r="K22" i="19"/>
  <c r="O27" i="19"/>
  <c r="F27" i="19"/>
  <c r="H22" i="19"/>
  <c r="N27" i="19"/>
  <c r="E27" i="19"/>
  <c r="G22" i="19"/>
  <c r="M27" i="19"/>
  <c r="AI21" i="19"/>
  <c r="Z22" i="19"/>
  <c r="X27" i="19"/>
  <c r="Y27" i="19"/>
  <c r="Y22" i="19"/>
  <c r="W27" i="19"/>
  <c r="X22" i="19"/>
  <c r="W22" i="19"/>
  <c r="Z27" i="19"/>
  <c r="B209" i="11"/>
  <c r="B210" i="11"/>
  <c r="B211" i="11"/>
  <c r="B212" i="11"/>
  <c r="B213" i="11"/>
  <c r="B149" i="11" l="1"/>
  <c r="B150" i="11"/>
  <c r="B151" i="11"/>
  <c r="B152" i="11"/>
  <c r="B153" i="11"/>
  <c r="F153" i="11" l="1"/>
  <c r="F152" i="11"/>
  <c r="F149" i="11"/>
  <c r="F151" i="11"/>
  <c r="F150" i="11"/>
  <c r="B195" i="11" l="1"/>
  <c r="B194" i="11" l="1"/>
  <c r="B196" i="11"/>
  <c r="B197" i="11"/>
  <c r="B198" i="11"/>
  <c r="B142" i="11" l="1"/>
  <c r="B105" i="11"/>
  <c r="B130" i="11"/>
  <c r="B64" i="11"/>
  <c r="B118" i="11"/>
  <c r="B91" i="11"/>
  <c r="B177" i="11"/>
  <c r="B77" i="11"/>
  <c r="B164" i="11"/>
  <c r="B44" i="11"/>
  <c r="B187" i="11"/>
  <c r="B186" i="11" l="1"/>
  <c r="B63" i="11" l="1"/>
  <c r="B117" i="11"/>
  <c r="B129" i="11"/>
  <c r="B141" i="11"/>
  <c r="B163" i="11"/>
  <c r="B90" i="11"/>
  <c r="B176" i="11"/>
  <c r="B104" i="11"/>
  <c r="B76" i="11"/>
  <c r="B21" i="11"/>
  <c r="B43" i="11"/>
  <c r="B185" i="11" l="1"/>
  <c r="B103" i="11" l="1"/>
  <c r="B140" i="11"/>
  <c r="B162" i="11"/>
  <c r="B116" i="11"/>
  <c r="B128" i="11"/>
  <c r="B89" i="11"/>
  <c r="B75" i="11"/>
  <c r="B175" i="11"/>
  <c r="B42" i="11"/>
  <c r="B19" i="11" l="1"/>
  <c r="B62" i="11" l="1"/>
  <c r="B20" i="11"/>
  <c r="B174" i="11" l="1"/>
  <c r="B173" i="11" l="1"/>
  <c r="B41" i="11" l="1"/>
  <c r="B139" i="11" l="1"/>
  <c r="B60" i="11"/>
  <c r="B126" i="11"/>
  <c r="B138" i="11"/>
  <c r="B88" i="11"/>
  <c r="B161" i="11"/>
  <c r="B114" i="11"/>
  <c r="B102" i="11"/>
  <c r="B74" i="11"/>
  <c r="B101" i="11"/>
  <c r="B127" i="11"/>
  <c r="B160" i="11"/>
  <c r="B16" i="11"/>
  <c r="B87" i="11"/>
  <c r="B73" i="11"/>
  <c r="B61" i="11"/>
  <c r="B115" i="11"/>
  <c r="B184" i="11"/>
  <c r="B40" i="11"/>
  <c r="B15" i="11"/>
  <c r="B17" i="11"/>
  <c r="B18" i="11" l="1"/>
  <c r="AC85" i="24" l="1"/>
  <c r="AF38" i="6"/>
  <c r="AF37" i="6"/>
  <c r="AF36" i="6"/>
  <c r="AF34" i="6"/>
  <c r="AF33" i="6"/>
  <c r="AF32" i="6"/>
  <c r="U4" i="27"/>
  <c r="AD87" i="6"/>
  <c r="AD71" i="6"/>
  <c r="AD61" i="6"/>
  <c r="AD55" i="6"/>
  <c r="AD54" i="6"/>
  <c r="AD50" i="6"/>
  <c r="AD15" i="6"/>
  <c r="AD23" i="6"/>
  <c r="AD22" i="6"/>
  <c r="AD21" i="6"/>
  <c r="AD20" i="6"/>
  <c r="AD19" i="6"/>
  <c r="AD18" i="6"/>
  <c r="AD17" i="6"/>
  <c r="AD12" i="6"/>
  <c r="AD11" i="6"/>
  <c r="AD10" i="6"/>
  <c r="AD9" i="6"/>
  <c r="AD8" i="6"/>
  <c r="AD7" i="6"/>
  <c r="AD6" i="6"/>
  <c r="B26" i="11"/>
  <c r="B25" i="11"/>
  <c r="AI25" i="1"/>
  <c r="AG56" i="9"/>
  <c r="K56" i="9"/>
  <c r="AL35" i="9" s="1"/>
  <c r="K19" i="34" s="1"/>
  <c r="W19" i="34"/>
  <c r="AI35" i="20" l="1"/>
  <c r="AI23" i="20"/>
  <c r="U5" i="27"/>
  <c r="AI30" i="20"/>
  <c r="AI26" i="1"/>
  <c r="AI27" i="20"/>
  <c r="AI18" i="20"/>
  <c r="AI15" i="20"/>
  <c r="AI24" i="1"/>
  <c r="C12" i="32"/>
  <c r="P63" i="9"/>
  <c r="H12" i="31" s="1"/>
  <c r="B7" i="31"/>
  <c r="C7" i="31"/>
  <c r="D7" i="31"/>
  <c r="E7" i="31"/>
  <c r="F7" i="31"/>
  <c r="G7" i="31"/>
  <c r="B8" i="31"/>
  <c r="C8" i="31"/>
  <c r="D8" i="31"/>
  <c r="E8" i="31"/>
  <c r="F8" i="31"/>
  <c r="G8" i="31"/>
  <c r="B9" i="31"/>
  <c r="C9" i="31"/>
  <c r="D9" i="31"/>
  <c r="E9" i="31"/>
  <c r="F9" i="31"/>
  <c r="G9" i="31"/>
  <c r="B10" i="31"/>
  <c r="C10" i="31"/>
  <c r="D10" i="31"/>
  <c r="E10" i="31"/>
  <c r="F10" i="31"/>
  <c r="G10" i="31"/>
  <c r="B11" i="31"/>
  <c r="C11" i="31"/>
  <c r="D11" i="31"/>
  <c r="E11" i="31"/>
  <c r="F11" i="31"/>
  <c r="G11" i="31"/>
  <c r="B12" i="31"/>
  <c r="C12" i="31"/>
  <c r="D12" i="31"/>
  <c r="E12" i="31"/>
  <c r="F12" i="31"/>
  <c r="G12" i="31"/>
  <c r="H12" i="28"/>
  <c r="G12" i="28"/>
  <c r="F12" i="28"/>
  <c r="E12" i="28"/>
  <c r="D12" i="28"/>
  <c r="C12" i="28"/>
  <c r="B12" i="28"/>
  <c r="A72" i="9"/>
  <c r="B10" i="33"/>
  <c r="AI14" i="20" l="1"/>
  <c r="AI26" i="20"/>
  <c r="AI13" i="20" l="1"/>
  <c r="A49" i="9"/>
  <c r="A23" i="9"/>
  <c r="K54" i="9"/>
  <c r="C10" i="32" s="1"/>
  <c r="K144" i="9"/>
  <c r="AB39" i="35"/>
  <c r="AB33" i="35" s="1"/>
  <c r="AB26" i="35"/>
  <c r="V37" i="37"/>
  <c r="AB19" i="35"/>
  <c r="AB13" i="35" s="1"/>
  <c r="AC123" i="6" s="1"/>
  <c r="AB12" i="35"/>
  <c r="AB6" i="35" s="1"/>
  <c r="AB56" i="35"/>
  <c r="AB57" i="35"/>
  <c r="AB58" i="35"/>
  <c r="AB59" i="35"/>
  <c r="AB60" i="35"/>
  <c r="AB47" i="35"/>
  <c r="AB48" i="35"/>
  <c r="AB49" i="35"/>
  <c r="AB50" i="35"/>
  <c r="AB51" i="35"/>
  <c r="AB52" i="35"/>
  <c r="AB53" i="35"/>
  <c r="AB54" i="35"/>
  <c r="V21" i="37"/>
  <c r="AB61" i="35" s="1"/>
  <c r="AC55" i="35"/>
  <c r="AC46" i="35"/>
  <c r="AC61" i="6"/>
  <c r="AC55" i="6"/>
  <c r="AC54" i="6"/>
  <c r="U25" i="38"/>
  <c r="U26" i="38"/>
  <c r="U27" i="38"/>
  <c r="AC62" i="35" l="1"/>
  <c r="AB65" i="35"/>
  <c r="AI27" i="1"/>
  <c r="AB55" i="35"/>
  <c r="AB64" i="35"/>
  <c r="AC122" i="6"/>
  <c r="AB46" i="35"/>
  <c r="T4" i="27"/>
  <c r="AD95" i="6"/>
  <c r="AC82" i="6"/>
  <c r="T5" i="27"/>
  <c r="AD96" i="6"/>
  <c r="AB68" i="35"/>
  <c r="AB72" i="35" s="1"/>
  <c r="AC83" i="6"/>
  <c r="AB40" i="35"/>
  <c r="AB20" i="35"/>
  <c r="U24" i="38"/>
  <c r="U28" i="38"/>
  <c r="T11" i="27" l="1"/>
  <c r="U13" i="38" s="1"/>
  <c r="AB62" i="35"/>
  <c r="T8" i="27"/>
  <c r="AB67" i="35"/>
  <c r="AB71" i="35" s="1"/>
  <c r="AB69" i="35"/>
  <c r="T10" i="27"/>
  <c r="AC92" i="6"/>
  <c r="AC80" i="6"/>
  <c r="AC91" i="6"/>
  <c r="AB73" i="35" l="1"/>
  <c r="U75" i="38"/>
  <c r="U19" i="38"/>
  <c r="T16" i="27"/>
  <c r="AI34" i="4" s="1"/>
  <c r="T14" i="27"/>
  <c r="V6" i="37" l="1"/>
  <c r="V15" i="37"/>
  <c r="V23" i="37"/>
  <c r="V25" i="37"/>
  <c r="V32" i="37"/>
  <c r="V52" i="37" s="1"/>
  <c r="V33" i="37"/>
  <c r="V53" i="37" s="1"/>
  <c r="V34" i="37"/>
  <c r="V54" i="37" s="1"/>
  <c r="V35" i="37"/>
  <c r="V26" i="37" s="1"/>
  <c r="V39" i="37"/>
  <c r="V59" i="37" s="1"/>
  <c r="V40" i="37"/>
  <c r="V60" i="37" s="1"/>
  <c r="V41" i="37"/>
  <c r="V61" i="37" s="1"/>
  <c r="V42" i="37"/>
  <c r="V62" i="37" s="1"/>
  <c r="V43" i="37"/>
  <c r="V63" i="37" s="1"/>
  <c r="V44" i="37"/>
  <c r="V64" i="37" s="1"/>
  <c r="V56" i="37"/>
  <c r="V57" i="37"/>
  <c r="AE71" i="9"/>
  <c r="V19" i="34" s="1"/>
  <c r="AD71" i="9"/>
  <c r="U19" i="34" s="1"/>
  <c r="AC71" i="9"/>
  <c r="T19" i="34" s="1"/>
  <c r="AB71" i="9"/>
  <c r="S19" i="34" s="1"/>
  <c r="AA71" i="9"/>
  <c r="R19" i="34" s="1"/>
  <c r="AF70" i="9"/>
  <c r="W18" i="34" s="1"/>
  <c r="AE70" i="9"/>
  <c r="V18" i="34" s="1"/>
  <c r="AD70" i="9"/>
  <c r="U18" i="34" s="1"/>
  <c r="AC70" i="9"/>
  <c r="T18" i="34" s="1"/>
  <c r="AB70" i="9"/>
  <c r="S18" i="34" s="1"/>
  <c r="AA70" i="9"/>
  <c r="R18" i="34" s="1"/>
  <c r="AF69" i="9"/>
  <c r="W17" i="34" s="1"/>
  <c r="AE69" i="9"/>
  <c r="V17" i="34" s="1"/>
  <c r="AD69" i="9"/>
  <c r="U17" i="34" s="1"/>
  <c r="AC69" i="9"/>
  <c r="T17" i="34" s="1"/>
  <c r="AB69" i="9"/>
  <c r="S17" i="34" s="1"/>
  <c r="AA69" i="9"/>
  <c r="R17" i="34" s="1"/>
  <c r="AF68" i="9"/>
  <c r="W16" i="34" s="1"/>
  <c r="AE68" i="9"/>
  <c r="V16" i="34" s="1"/>
  <c r="AD68" i="9"/>
  <c r="U16" i="34" s="1"/>
  <c r="AC68" i="9"/>
  <c r="T16" i="34" s="1"/>
  <c r="AB68" i="9"/>
  <c r="S16" i="34" s="1"/>
  <c r="AA68" i="9"/>
  <c r="R16" i="34" s="1"/>
  <c r="AF67" i="9"/>
  <c r="W15" i="34" s="1"/>
  <c r="AE67" i="9"/>
  <c r="V15" i="34" s="1"/>
  <c r="AD67" i="9"/>
  <c r="U15" i="34" s="1"/>
  <c r="AC67" i="9"/>
  <c r="T15" i="34" s="1"/>
  <c r="AB67" i="9"/>
  <c r="S15" i="34" s="1"/>
  <c r="AA67" i="9"/>
  <c r="R15" i="34" s="1"/>
  <c r="AF66" i="9"/>
  <c r="W14" i="34" s="1"/>
  <c r="AE66" i="9"/>
  <c r="V14" i="34" s="1"/>
  <c r="AD66" i="9"/>
  <c r="U14" i="34" s="1"/>
  <c r="AC66" i="9"/>
  <c r="T14" i="34" s="1"/>
  <c r="AB66" i="9"/>
  <c r="S14" i="34" s="1"/>
  <c r="AA66" i="9"/>
  <c r="R14" i="34" s="1"/>
  <c r="AG63" i="9"/>
  <c r="Q63" i="9"/>
  <c r="AG62" i="9"/>
  <c r="P62" i="9"/>
  <c r="H11" i="31" s="1"/>
  <c r="AG61" i="9"/>
  <c r="P61" i="9"/>
  <c r="H10" i="31" s="1"/>
  <c r="AG60" i="9"/>
  <c r="P60" i="9"/>
  <c r="H9" i="31" s="1"/>
  <c r="AG59" i="9"/>
  <c r="P59" i="9"/>
  <c r="H8" i="31" s="1"/>
  <c r="AG58" i="9"/>
  <c r="P58" i="9"/>
  <c r="H7" i="31" s="1"/>
  <c r="AF57" i="9"/>
  <c r="AE57" i="9"/>
  <c r="AD57" i="9"/>
  <c r="AC57" i="9"/>
  <c r="AB57" i="9"/>
  <c r="AA57" i="9"/>
  <c r="O57" i="9"/>
  <c r="G6" i="31" s="1"/>
  <c r="N57" i="9"/>
  <c r="F6" i="31" s="1"/>
  <c r="M57" i="9"/>
  <c r="E6" i="31" s="1"/>
  <c r="L57" i="9"/>
  <c r="D6" i="31" s="1"/>
  <c r="K57" i="9"/>
  <c r="C6" i="31" s="1"/>
  <c r="J57" i="9"/>
  <c r="AG71" i="9"/>
  <c r="X19" i="34" s="1"/>
  <c r="Q56" i="9"/>
  <c r="O56" i="9"/>
  <c r="G12" i="32" s="1"/>
  <c r="N56" i="9"/>
  <c r="AO35" i="9" s="1"/>
  <c r="N19" i="34" s="1"/>
  <c r="M56" i="9"/>
  <c r="AN35" i="9" s="1"/>
  <c r="M19" i="34" s="1"/>
  <c r="L56" i="9"/>
  <c r="K71" i="9"/>
  <c r="J56" i="9"/>
  <c r="AK35" i="9" s="1"/>
  <c r="J19" i="34" s="1"/>
  <c r="AG55" i="9"/>
  <c r="O55" i="9"/>
  <c r="N55" i="9"/>
  <c r="F11" i="32" s="1"/>
  <c r="M55" i="9"/>
  <c r="L55" i="9"/>
  <c r="K55" i="9"/>
  <c r="J55" i="9"/>
  <c r="B11" i="32" s="1"/>
  <c r="AG54" i="9"/>
  <c r="O54" i="9"/>
  <c r="N54" i="9"/>
  <c r="M54" i="9"/>
  <c r="AN33" i="9" s="1"/>
  <c r="M17" i="34" s="1"/>
  <c r="L54" i="9"/>
  <c r="AM33" i="9" s="1"/>
  <c r="L17" i="34" s="1"/>
  <c r="K69" i="9"/>
  <c r="J54" i="9"/>
  <c r="AK33" i="9" s="1"/>
  <c r="J17" i="34" s="1"/>
  <c r="AG53" i="9"/>
  <c r="O53" i="9"/>
  <c r="AP32" i="9" s="1"/>
  <c r="O16" i="34" s="1"/>
  <c r="N53" i="9"/>
  <c r="M53" i="9"/>
  <c r="E9" i="32" s="1"/>
  <c r="L53" i="9"/>
  <c r="K53" i="9"/>
  <c r="AL32" i="9" s="1"/>
  <c r="K16" i="34" s="1"/>
  <c r="J53" i="9"/>
  <c r="AK32" i="9" s="1"/>
  <c r="J16" i="34" s="1"/>
  <c r="AG52" i="9"/>
  <c r="O52" i="9"/>
  <c r="N52" i="9"/>
  <c r="AO31" i="9" s="1"/>
  <c r="N15" i="34" s="1"/>
  <c r="M52" i="9"/>
  <c r="AN31" i="9" s="1"/>
  <c r="M15" i="34" s="1"/>
  <c r="L52" i="9"/>
  <c r="D8" i="32" s="1"/>
  <c r="K52" i="9"/>
  <c r="C8" i="32" s="1"/>
  <c r="J52" i="9"/>
  <c r="B8" i="32" s="1"/>
  <c r="AG51" i="9"/>
  <c r="O51" i="9"/>
  <c r="N51" i="9"/>
  <c r="AO30" i="9" s="1"/>
  <c r="N14" i="34" s="1"/>
  <c r="M51" i="9"/>
  <c r="L51" i="9"/>
  <c r="K51" i="9"/>
  <c r="C7" i="32" s="1"/>
  <c r="J51" i="9"/>
  <c r="B7" i="32" s="1"/>
  <c r="AF50" i="9"/>
  <c r="AE50" i="9"/>
  <c r="AD50" i="9"/>
  <c r="AC50" i="9"/>
  <c r="AB50" i="9"/>
  <c r="AA50" i="9"/>
  <c r="I47" i="9"/>
  <c r="O42" i="9"/>
  <c r="W31" i="9" s="1"/>
  <c r="W56" i="9" s="1"/>
  <c r="G12" i="26" s="1"/>
  <c r="N42" i="9"/>
  <c r="V31" i="9" s="1"/>
  <c r="V56" i="9" s="1"/>
  <c r="F12" i="26" s="1"/>
  <c r="M42" i="9"/>
  <c r="U31" i="9" s="1"/>
  <c r="U56" i="9" s="1"/>
  <c r="E12" i="26" s="1"/>
  <c r="L42" i="9"/>
  <c r="K42" i="9"/>
  <c r="S31" i="9" s="1"/>
  <c r="S56" i="9" s="1"/>
  <c r="C12" i="26" s="1"/>
  <c r="J42" i="9"/>
  <c r="R31" i="9" s="1"/>
  <c r="O38" i="9"/>
  <c r="G19" i="28" s="1"/>
  <c r="N38" i="9"/>
  <c r="F19" i="28" s="1"/>
  <c r="M38" i="9"/>
  <c r="E19" i="28" s="1"/>
  <c r="L38" i="9"/>
  <c r="D19" i="28" s="1"/>
  <c r="K38" i="9"/>
  <c r="C19" i="28" s="1"/>
  <c r="J38" i="9"/>
  <c r="B19" i="28" s="1"/>
  <c r="O37" i="9"/>
  <c r="G18" i="28" s="1"/>
  <c r="N37" i="9"/>
  <c r="F18" i="28" s="1"/>
  <c r="M37" i="9"/>
  <c r="E18" i="28" s="1"/>
  <c r="L37" i="9"/>
  <c r="D18" i="28" s="1"/>
  <c r="K37" i="9"/>
  <c r="C18" i="28" s="1"/>
  <c r="J37" i="9"/>
  <c r="B18" i="28" s="1"/>
  <c r="O36" i="9"/>
  <c r="G17" i="28" s="1"/>
  <c r="N36" i="9"/>
  <c r="F17" i="28" s="1"/>
  <c r="M36" i="9"/>
  <c r="L36" i="9"/>
  <c r="D17" i="28" s="1"/>
  <c r="K36" i="9"/>
  <c r="C17" i="28" s="1"/>
  <c r="J36" i="9"/>
  <c r="B17" i="28" s="1"/>
  <c r="O35" i="9"/>
  <c r="G16" i="28" s="1"/>
  <c r="N35" i="9"/>
  <c r="F16" i="28" s="1"/>
  <c r="M35" i="9"/>
  <c r="E16" i="28" s="1"/>
  <c r="L35" i="9"/>
  <c r="D16" i="28" s="1"/>
  <c r="K35" i="9"/>
  <c r="C16" i="28" s="1"/>
  <c r="J35" i="9"/>
  <c r="B16" i="28" s="1"/>
  <c r="O34" i="9"/>
  <c r="G15" i="28" s="1"/>
  <c r="N34" i="9"/>
  <c r="F15" i="28" s="1"/>
  <c r="M34" i="9"/>
  <c r="E15" i="28" s="1"/>
  <c r="L34" i="9"/>
  <c r="D15" i="28" s="1"/>
  <c r="K34" i="9"/>
  <c r="C15" i="28" s="1"/>
  <c r="J34" i="9"/>
  <c r="B15" i="28" s="1"/>
  <c r="AP33" i="9"/>
  <c r="O17" i="34" s="1"/>
  <c r="O33" i="9"/>
  <c r="G14" i="28" s="1"/>
  <c r="N33" i="9"/>
  <c r="F14" i="28" s="1"/>
  <c r="M33" i="9"/>
  <c r="L33" i="9"/>
  <c r="K33" i="9"/>
  <c r="C14" i="28" s="1"/>
  <c r="J33" i="9"/>
  <c r="B14" i="28" s="1"/>
  <c r="O30" i="9"/>
  <c r="G11" i="28" s="1"/>
  <c r="N30" i="9"/>
  <c r="F11" i="28" s="1"/>
  <c r="M30" i="9"/>
  <c r="E11" i="28" s="1"/>
  <c r="L30" i="9"/>
  <c r="K30" i="9"/>
  <c r="C11" i="28" s="1"/>
  <c r="J30" i="9"/>
  <c r="B11" i="28" s="1"/>
  <c r="O29" i="9"/>
  <c r="G10" i="28" s="1"/>
  <c r="N29" i="9"/>
  <c r="F10" i="28" s="1"/>
  <c r="M29" i="9"/>
  <c r="E10" i="28" s="1"/>
  <c r="L29" i="9"/>
  <c r="D10" i="28" s="1"/>
  <c r="K29" i="9"/>
  <c r="C10" i="28" s="1"/>
  <c r="J29" i="9"/>
  <c r="B10" i="28" s="1"/>
  <c r="O28" i="9"/>
  <c r="G9" i="28" s="1"/>
  <c r="N28" i="9"/>
  <c r="F9" i="28" s="1"/>
  <c r="M28" i="9"/>
  <c r="E9" i="28" s="1"/>
  <c r="L28" i="9"/>
  <c r="D9" i="28" s="1"/>
  <c r="K28" i="9"/>
  <c r="C9" i="28" s="1"/>
  <c r="J28" i="9"/>
  <c r="B9" i="28" s="1"/>
  <c r="O27" i="9"/>
  <c r="G8" i="28" s="1"/>
  <c r="N27" i="9"/>
  <c r="M27" i="9"/>
  <c r="E8" i="28" s="1"/>
  <c r="L27" i="9"/>
  <c r="D8" i="28" s="1"/>
  <c r="K27" i="9"/>
  <c r="C8" i="28" s="1"/>
  <c r="J27" i="9"/>
  <c r="B8" i="28" s="1"/>
  <c r="O26" i="9"/>
  <c r="G7" i="28" s="1"/>
  <c r="N26" i="9"/>
  <c r="F7" i="28" s="1"/>
  <c r="M26" i="9"/>
  <c r="E7" i="28" s="1"/>
  <c r="L26" i="9"/>
  <c r="K26" i="9"/>
  <c r="C7" i="28" s="1"/>
  <c r="J26" i="9"/>
  <c r="B7" i="28" s="1"/>
  <c r="AP19" i="9"/>
  <c r="G19" i="34" s="1"/>
  <c r="AO19" i="9"/>
  <c r="F19" i="34" s="1"/>
  <c r="P19" i="9"/>
  <c r="P18" i="9"/>
  <c r="AK17" i="9"/>
  <c r="B17" i="34" s="1"/>
  <c r="P17" i="9"/>
  <c r="P16" i="9"/>
  <c r="P15" i="9"/>
  <c r="P14" i="9"/>
  <c r="O13" i="9"/>
  <c r="N13" i="9"/>
  <c r="N21" i="9" s="1"/>
  <c r="M13" i="9"/>
  <c r="L13" i="9"/>
  <c r="K13" i="9"/>
  <c r="J13" i="9"/>
  <c r="AP12" i="9"/>
  <c r="G12" i="34" s="1"/>
  <c r="AO12" i="9"/>
  <c r="F12" i="34" s="1"/>
  <c r="AN12" i="9"/>
  <c r="E12" i="34" s="1"/>
  <c r="AM12" i="9"/>
  <c r="D12" i="34" s="1"/>
  <c r="AL12" i="9"/>
  <c r="C12" i="34" s="1"/>
  <c r="AK12" i="9"/>
  <c r="B12" i="34" s="1"/>
  <c r="P12" i="9"/>
  <c r="AQ12" i="9" s="1"/>
  <c r="H12" i="34" s="1"/>
  <c r="P11" i="9"/>
  <c r="AK10" i="9"/>
  <c r="B10" i="34" s="1"/>
  <c r="P10" i="9"/>
  <c r="P9" i="9"/>
  <c r="P8" i="9"/>
  <c r="P7" i="9"/>
  <c r="O6" i="9"/>
  <c r="N6" i="9"/>
  <c r="M6" i="9"/>
  <c r="L6" i="9"/>
  <c r="K6" i="9"/>
  <c r="J6" i="9"/>
  <c r="AK8" i="9" l="1"/>
  <c r="B8" i="34" s="1"/>
  <c r="AN11" i="9"/>
  <c r="E11" i="34" s="1"/>
  <c r="AM15" i="9"/>
  <c r="D15" i="34" s="1"/>
  <c r="AM9" i="9"/>
  <c r="D9" i="34" s="1"/>
  <c r="AM17" i="9"/>
  <c r="D17" i="34" s="1"/>
  <c r="AP17" i="9"/>
  <c r="G17" i="34" s="1"/>
  <c r="AK18" i="9"/>
  <c r="B18" i="34" s="1"/>
  <c r="AM19" i="9"/>
  <c r="D19" i="34" s="1"/>
  <c r="AK31" i="9"/>
  <c r="J15" i="34" s="1"/>
  <c r="AK7" i="9"/>
  <c r="B7" i="34" s="1"/>
  <c r="AK11" i="9"/>
  <c r="B11" i="34" s="1"/>
  <c r="AK14" i="9"/>
  <c r="B14" i="34" s="1"/>
  <c r="L66" i="9"/>
  <c r="D7" i="32"/>
  <c r="M67" i="9"/>
  <c r="E8" i="32"/>
  <c r="N68" i="9"/>
  <c r="F9" i="32"/>
  <c r="O69" i="9"/>
  <c r="G10" i="32"/>
  <c r="AM10" i="9"/>
  <c r="D10" i="34" s="1"/>
  <c r="AP10" i="9"/>
  <c r="G10" i="34" s="1"/>
  <c r="AK34" i="9"/>
  <c r="J18" i="34" s="1"/>
  <c r="M66" i="9"/>
  <c r="E7" i="32"/>
  <c r="N67" i="9"/>
  <c r="F8" i="32"/>
  <c r="O68" i="9"/>
  <c r="G9" i="32"/>
  <c r="J71" i="9"/>
  <c r="B12" i="32"/>
  <c r="B6" i="31"/>
  <c r="N66" i="9"/>
  <c r="F7" i="32"/>
  <c r="O67" i="9"/>
  <c r="G8" i="32"/>
  <c r="J70" i="9"/>
  <c r="AM14" i="9"/>
  <c r="D14" i="34" s="1"/>
  <c r="D14" i="28"/>
  <c r="O66" i="9"/>
  <c r="G7" i="32"/>
  <c r="J69" i="9"/>
  <c r="B10" i="32"/>
  <c r="K70" i="9"/>
  <c r="C11" i="32"/>
  <c r="L71" i="9"/>
  <c r="D12" i="32"/>
  <c r="AN14" i="9"/>
  <c r="E14" i="34" s="1"/>
  <c r="E14" i="28"/>
  <c r="J68" i="9"/>
  <c r="B9" i="32"/>
  <c r="L70" i="9"/>
  <c r="D11" i="32"/>
  <c r="M71" i="9"/>
  <c r="E12" i="32"/>
  <c r="AO11" i="9"/>
  <c r="F11" i="34" s="1"/>
  <c r="AM7" i="9"/>
  <c r="D7" i="34" s="1"/>
  <c r="D7" i="28"/>
  <c r="AO8" i="9"/>
  <c r="F8" i="34" s="1"/>
  <c r="F8" i="28"/>
  <c r="AM11" i="9"/>
  <c r="D11" i="34" s="1"/>
  <c r="D11" i="28"/>
  <c r="AP31" i="9"/>
  <c r="O15" i="34" s="1"/>
  <c r="K68" i="9"/>
  <c r="C9" i="32"/>
  <c r="L69" i="9"/>
  <c r="D10" i="32"/>
  <c r="M70" i="9"/>
  <c r="E11" i="32"/>
  <c r="N71" i="9"/>
  <c r="F12" i="32"/>
  <c r="AP11" i="9"/>
  <c r="G11" i="34" s="1"/>
  <c r="AN17" i="9"/>
  <c r="E17" i="34" s="1"/>
  <c r="E17" i="28"/>
  <c r="AM32" i="9"/>
  <c r="L16" i="34" s="1"/>
  <c r="D9" i="32"/>
  <c r="M69" i="9"/>
  <c r="E10" i="32"/>
  <c r="T30" i="9"/>
  <c r="T55" i="9" s="1"/>
  <c r="D11" i="26" s="1"/>
  <c r="N69" i="9"/>
  <c r="F10" i="32"/>
  <c r="AP34" i="9"/>
  <c r="O18" i="34" s="1"/>
  <c r="G11" i="32"/>
  <c r="J67" i="9"/>
  <c r="W29" i="9"/>
  <c r="W54" i="9" s="1"/>
  <c r="G10" i="26" s="1"/>
  <c r="W36" i="9"/>
  <c r="W61" i="9" s="1"/>
  <c r="G17" i="26" s="1"/>
  <c r="W27" i="9"/>
  <c r="W52" i="9" s="1"/>
  <c r="G8" i="26" s="1"/>
  <c r="W30" i="9"/>
  <c r="W55" i="9" s="1"/>
  <c r="G11" i="26" s="1"/>
  <c r="W26" i="9"/>
  <c r="W51" i="9" s="1"/>
  <c r="G7" i="26" s="1"/>
  <c r="W38" i="9"/>
  <c r="W63" i="9" s="1"/>
  <c r="G19" i="26" s="1"/>
  <c r="W33" i="9"/>
  <c r="W58" i="9" s="1"/>
  <c r="G14" i="26" s="1"/>
  <c r="W35" i="9"/>
  <c r="W60" i="9" s="1"/>
  <c r="G16" i="26" s="1"/>
  <c r="W34" i="9"/>
  <c r="W59" i="9" s="1"/>
  <c r="G15" i="26" s="1"/>
  <c r="V30" i="9"/>
  <c r="V55" i="9" s="1"/>
  <c r="F11" i="26" s="1"/>
  <c r="V35" i="9"/>
  <c r="V60" i="9" s="1"/>
  <c r="F16" i="26" s="1"/>
  <c r="V26" i="9"/>
  <c r="V51" i="9" s="1"/>
  <c r="F7" i="26" s="1"/>
  <c r="V38" i="9"/>
  <c r="V63" i="9" s="1"/>
  <c r="F19" i="26" s="1"/>
  <c r="V33" i="9"/>
  <c r="V58" i="9" s="1"/>
  <c r="F14" i="26" s="1"/>
  <c r="V37" i="9"/>
  <c r="V62" i="9" s="1"/>
  <c r="F18" i="26" s="1"/>
  <c r="V29" i="9"/>
  <c r="V54" i="9" s="1"/>
  <c r="F10" i="26" s="1"/>
  <c r="V36" i="9"/>
  <c r="V61" i="9" s="1"/>
  <c r="F17" i="26" s="1"/>
  <c r="U38" i="9"/>
  <c r="U63" i="9" s="1"/>
  <c r="E19" i="26" s="1"/>
  <c r="U35" i="9"/>
  <c r="U60" i="9" s="1"/>
  <c r="E16" i="26" s="1"/>
  <c r="U30" i="9"/>
  <c r="U55" i="9" s="1"/>
  <c r="E11" i="26" s="1"/>
  <c r="U26" i="9"/>
  <c r="U51" i="9" s="1"/>
  <c r="E7" i="26" s="1"/>
  <c r="U29" i="9"/>
  <c r="U54" i="9" s="1"/>
  <c r="E10" i="26" s="1"/>
  <c r="U37" i="9"/>
  <c r="U62" i="9" s="1"/>
  <c r="E18" i="26" s="1"/>
  <c r="U34" i="9"/>
  <c r="U59" i="9" s="1"/>
  <c r="E15" i="26" s="1"/>
  <c r="U28" i="9"/>
  <c r="U53" i="9" s="1"/>
  <c r="E9" i="26" s="1"/>
  <c r="T38" i="9"/>
  <c r="T63" i="9" s="1"/>
  <c r="D19" i="26" s="1"/>
  <c r="T29" i="9"/>
  <c r="T54" i="9" s="1"/>
  <c r="D10" i="26" s="1"/>
  <c r="T28" i="9"/>
  <c r="T53" i="9" s="1"/>
  <c r="D9" i="26" s="1"/>
  <c r="T35" i="9"/>
  <c r="T60" i="9" s="1"/>
  <c r="D16" i="26" s="1"/>
  <c r="T31" i="9"/>
  <c r="T56" i="9" s="1"/>
  <c r="D12" i="26" s="1"/>
  <c r="T37" i="9"/>
  <c r="T62" i="9" s="1"/>
  <c r="D18" i="26" s="1"/>
  <c r="T34" i="9"/>
  <c r="T59" i="9" s="1"/>
  <c r="D15" i="26" s="1"/>
  <c r="T36" i="9"/>
  <c r="T61" i="9" s="1"/>
  <c r="D17" i="26" s="1"/>
  <c r="S38" i="9"/>
  <c r="S63" i="9" s="1"/>
  <c r="C19" i="26" s="1"/>
  <c r="S28" i="9"/>
  <c r="S53" i="9" s="1"/>
  <c r="C9" i="26" s="1"/>
  <c r="S35" i="9"/>
  <c r="S60" i="9" s="1"/>
  <c r="C16" i="26" s="1"/>
  <c r="S27" i="9"/>
  <c r="S52" i="9" s="1"/>
  <c r="C8" i="26" s="1"/>
  <c r="S26" i="9"/>
  <c r="S51" i="9" s="1"/>
  <c r="C7" i="26" s="1"/>
  <c r="S37" i="9"/>
  <c r="S62" i="9" s="1"/>
  <c r="C18" i="26" s="1"/>
  <c r="S34" i="9"/>
  <c r="S59" i="9" s="1"/>
  <c r="C15" i="26" s="1"/>
  <c r="S36" i="9"/>
  <c r="S61" i="9" s="1"/>
  <c r="C17" i="26" s="1"/>
  <c r="S29" i="9"/>
  <c r="S54" i="9" s="1"/>
  <c r="C10" i="26" s="1"/>
  <c r="R35" i="9"/>
  <c r="R60" i="9" s="1"/>
  <c r="B16" i="26" s="1"/>
  <c r="R33" i="9"/>
  <c r="R58" i="9" s="1"/>
  <c r="B14" i="26" s="1"/>
  <c r="R27" i="9"/>
  <c r="R52" i="9" s="1"/>
  <c r="B8" i="26" s="1"/>
  <c r="R30" i="9"/>
  <c r="R55" i="9" s="1"/>
  <c r="B11" i="26" s="1"/>
  <c r="R34" i="9"/>
  <c r="R59" i="9" s="1"/>
  <c r="B15" i="26" s="1"/>
  <c r="R37" i="9"/>
  <c r="R62" i="9" s="1"/>
  <c r="B18" i="26" s="1"/>
  <c r="R36" i="9"/>
  <c r="R29" i="9"/>
  <c r="R54" i="9" s="1"/>
  <c r="B10" i="26" s="1"/>
  <c r="R28" i="9"/>
  <c r="R53" i="9" s="1"/>
  <c r="B9" i="26" s="1"/>
  <c r="R38" i="9"/>
  <c r="R63" i="9" s="1"/>
  <c r="B19" i="26" s="1"/>
  <c r="AO32" i="9"/>
  <c r="N16" i="34" s="1"/>
  <c r="AL33" i="9"/>
  <c r="K17" i="34" s="1"/>
  <c r="AO33" i="9"/>
  <c r="N17" i="34" s="1"/>
  <c r="AN34" i="9"/>
  <c r="M18" i="34" s="1"/>
  <c r="AM34" i="9"/>
  <c r="L18" i="34" s="1"/>
  <c r="AN30" i="9"/>
  <c r="M14" i="34" s="1"/>
  <c r="AM30" i="9"/>
  <c r="L14" i="34" s="1"/>
  <c r="AE65" i="9"/>
  <c r="V13" i="34" s="1"/>
  <c r="AG57" i="9"/>
  <c r="AB65" i="9"/>
  <c r="S13" i="34" s="1"/>
  <c r="AF65" i="9"/>
  <c r="W13" i="34" s="1"/>
  <c r="AG69" i="9"/>
  <c r="X17" i="34" s="1"/>
  <c r="AM35" i="9"/>
  <c r="L19" i="34" s="1"/>
  <c r="P56" i="9"/>
  <c r="H12" i="32" s="1"/>
  <c r="AG66" i="9"/>
  <c r="X14" i="34" s="1"/>
  <c r="AG70" i="9"/>
  <c r="X18" i="34" s="1"/>
  <c r="O50" i="9"/>
  <c r="L50" i="9"/>
  <c r="M50" i="9"/>
  <c r="AP30" i="9"/>
  <c r="O14" i="34" s="1"/>
  <c r="AG50" i="9"/>
  <c r="AG67" i="9"/>
  <c r="X15" i="34" s="1"/>
  <c r="AC65" i="9"/>
  <c r="T13" i="34" s="1"/>
  <c r="AL34" i="9"/>
  <c r="K18" i="34" s="1"/>
  <c r="AD65" i="9"/>
  <c r="U13" i="34" s="1"/>
  <c r="AG68" i="9"/>
  <c r="X16" i="34" s="1"/>
  <c r="AO10" i="9"/>
  <c r="F10" i="34" s="1"/>
  <c r="AL18" i="9"/>
  <c r="C18" i="34" s="1"/>
  <c r="AP14" i="9"/>
  <c r="G14" i="34" s="1"/>
  <c r="AO18" i="9"/>
  <c r="F18" i="34" s="1"/>
  <c r="AO17" i="9"/>
  <c r="F17" i="34" s="1"/>
  <c r="AO16" i="9"/>
  <c r="F16" i="34" s="1"/>
  <c r="N20" i="9"/>
  <c r="N2" i="9" s="1"/>
  <c r="AO14" i="9"/>
  <c r="F14" i="34" s="1"/>
  <c r="AN18" i="9"/>
  <c r="E18" i="34" s="1"/>
  <c r="AN16" i="9"/>
  <c r="E16" i="34" s="1"/>
  <c r="U33" i="9"/>
  <c r="U58" i="9" s="1"/>
  <c r="E14" i="26" s="1"/>
  <c r="AL19" i="9"/>
  <c r="C19" i="34" s="1"/>
  <c r="AM16" i="9"/>
  <c r="D16" i="34" s="1"/>
  <c r="L20" i="9"/>
  <c r="L2" i="9" s="1"/>
  <c r="AL16" i="9"/>
  <c r="C16" i="34" s="1"/>
  <c r="AL15" i="9"/>
  <c r="C15" i="34" s="1"/>
  <c r="P13" i="9"/>
  <c r="P21" i="9" s="1"/>
  <c r="AP8" i="9"/>
  <c r="G8" i="34" s="1"/>
  <c r="AP7" i="9"/>
  <c r="G7" i="34" s="1"/>
  <c r="V27" i="9"/>
  <c r="V52" i="9" s="1"/>
  <c r="F8" i="26" s="1"/>
  <c r="AO7" i="9"/>
  <c r="F7" i="34" s="1"/>
  <c r="AN10" i="9"/>
  <c r="E10" i="34" s="1"/>
  <c r="AN7" i="9"/>
  <c r="E7" i="34" s="1"/>
  <c r="AL10" i="9"/>
  <c r="C10" i="34" s="1"/>
  <c r="AL9" i="9"/>
  <c r="C9" i="34" s="1"/>
  <c r="AK9" i="9"/>
  <c r="B9" i="34" s="1"/>
  <c r="V38" i="37"/>
  <c r="V58" i="37" s="1"/>
  <c r="AK15" i="9"/>
  <c r="B15" i="34" s="1"/>
  <c r="AP16" i="9"/>
  <c r="G16" i="34" s="1"/>
  <c r="AN19" i="9"/>
  <c r="E19" i="34" s="1"/>
  <c r="AM18" i="9"/>
  <c r="D18" i="34" s="1"/>
  <c r="T26" i="9"/>
  <c r="T51" i="9" s="1"/>
  <c r="D7" i="26" s="1"/>
  <c r="P37" i="9"/>
  <c r="AL17" i="9"/>
  <c r="C17" i="34" s="1"/>
  <c r="L32" i="9"/>
  <c r="U36" i="9"/>
  <c r="U61" i="9" s="1"/>
  <c r="E17" i="26" s="1"/>
  <c r="M20" i="9"/>
  <c r="M2" i="9" s="1"/>
  <c r="O21" i="9"/>
  <c r="L21" i="9"/>
  <c r="M21" i="9"/>
  <c r="P29" i="9"/>
  <c r="V22" i="37"/>
  <c r="V2" i="37" s="1"/>
  <c r="V55" i="37"/>
  <c r="V31" i="37"/>
  <c r="P6" i="9"/>
  <c r="V28" i="9"/>
  <c r="V53" i="9" s="1"/>
  <c r="F9" i="26" s="1"/>
  <c r="N25" i="9"/>
  <c r="F6" i="28" s="1"/>
  <c r="AO9" i="9"/>
  <c r="F9" i="34" s="1"/>
  <c r="O32" i="9"/>
  <c r="AP15" i="9"/>
  <c r="G15" i="34" s="1"/>
  <c r="P38" i="9"/>
  <c r="AK19" i="9"/>
  <c r="B19" i="34" s="1"/>
  <c r="J66" i="9"/>
  <c r="P51" i="9"/>
  <c r="AK30" i="9"/>
  <c r="J14" i="34" s="1"/>
  <c r="J50" i="9"/>
  <c r="B6" i="32" s="1"/>
  <c r="AA65" i="9"/>
  <c r="R13" i="34" s="1"/>
  <c r="M25" i="9"/>
  <c r="E6" i="28" s="1"/>
  <c r="AN8" i="9"/>
  <c r="E8" i="34" s="1"/>
  <c r="S33" i="9"/>
  <c r="K32" i="9"/>
  <c r="C13" i="28" s="1"/>
  <c r="AO34" i="9"/>
  <c r="N18" i="34" s="1"/>
  <c r="N70" i="9"/>
  <c r="AP35" i="9"/>
  <c r="O19" i="34" s="1"/>
  <c r="O71" i="9"/>
  <c r="J20" i="9"/>
  <c r="J2" i="9" s="1"/>
  <c r="O25" i="9"/>
  <c r="AP9" i="9"/>
  <c r="G9" i="34" s="1"/>
  <c r="S30" i="9"/>
  <c r="S55" i="9" s="1"/>
  <c r="C11" i="26" s="1"/>
  <c r="AL11" i="9"/>
  <c r="C11" i="34" s="1"/>
  <c r="P35" i="9"/>
  <c r="AK16" i="9"/>
  <c r="B16" i="34" s="1"/>
  <c r="AL30" i="9"/>
  <c r="K14" i="34" s="1"/>
  <c r="K50" i="9"/>
  <c r="P52" i="9"/>
  <c r="P57" i="9"/>
  <c r="J21" i="9"/>
  <c r="U27" i="9"/>
  <c r="U52" i="9" s="1"/>
  <c r="E8" i="26" s="1"/>
  <c r="AL31" i="9"/>
  <c r="K15" i="34" s="1"/>
  <c r="K67" i="9"/>
  <c r="P55" i="9"/>
  <c r="K66" i="9"/>
  <c r="L68" i="9"/>
  <c r="V34" i="9"/>
  <c r="V59" i="9" s="1"/>
  <c r="F15" i="26" s="1"/>
  <c r="N32" i="9"/>
  <c r="AO15" i="9"/>
  <c r="F15" i="34" s="1"/>
  <c r="K20" i="9"/>
  <c r="K2" i="9" s="1"/>
  <c r="K21" i="9"/>
  <c r="R26" i="9"/>
  <c r="P26" i="9"/>
  <c r="J25" i="9"/>
  <c r="B6" i="28" s="1"/>
  <c r="P27" i="9"/>
  <c r="W28" i="9"/>
  <c r="W53" i="9" s="1"/>
  <c r="G9" i="26" s="1"/>
  <c r="T33" i="9"/>
  <c r="K25" i="9"/>
  <c r="C6" i="28" s="1"/>
  <c r="AL7" i="9"/>
  <c r="C7" i="34" s="1"/>
  <c r="AL14" i="9"/>
  <c r="C14" i="34" s="1"/>
  <c r="T27" i="9"/>
  <c r="T52" i="9" s="1"/>
  <c r="D8" i="26" s="1"/>
  <c r="L25" i="9"/>
  <c r="D6" i="28" s="1"/>
  <c r="AM8" i="9"/>
  <c r="D8" i="34" s="1"/>
  <c r="W37" i="9"/>
  <c r="AP18" i="9"/>
  <c r="G18" i="34" s="1"/>
  <c r="AL8" i="9"/>
  <c r="C8" i="34" s="1"/>
  <c r="AN15" i="9"/>
  <c r="E15" i="34" s="1"/>
  <c r="P28" i="9"/>
  <c r="J32" i="9"/>
  <c r="B13" i="28" s="1"/>
  <c r="P34" i="9"/>
  <c r="L67" i="9"/>
  <c r="O20" i="9"/>
  <c r="AN32" i="9"/>
  <c r="M16" i="34" s="1"/>
  <c r="P54" i="9"/>
  <c r="R56" i="9"/>
  <c r="B12" i="26" s="1"/>
  <c r="M68" i="9"/>
  <c r="AN9" i="9"/>
  <c r="E9" i="34" s="1"/>
  <c r="P36" i="9"/>
  <c r="P53" i="9"/>
  <c r="P30" i="9"/>
  <c r="AM31" i="9"/>
  <c r="L15" i="34" s="1"/>
  <c r="M32" i="9"/>
  <c r="P33" i="9"/>
  <c r="O70" i="9"/>
  <c r="N50" i="9"/>
  <c r="K23" i="9" l="1"/>
  <c r="X31" i="9"/>
  <c r="X56" i="9" s="1"/>
  <c r="H12" i="26" s="1"/>
  <c r="AQ35" i="9"/>
  <c r="P19" i="34" s="1"/>
  <c r="AM29" i="9"/>
  <c r="L13" i="34" s="1"/>
  <c r="D6" i="32"/>
  <c r="AQ31" i="9"/>
  <c r="P15" i="34" s="1"/>
  <c r="H8" i="32"/>
  <c r="AP6" i="9"/>
  <c r="G6" i="34" s="1"/>
  <c r="G6" i="28"/>
  <c r="AQ34" i="9"/>
  <c r="P18" i="34" s="1"/>
  <c r="H11" i="32"/>
  <c r="AQ19" i="9"/>
  <c r="H19" i="34" s="1"/>
  <c r="H19" i="28"/>
  <c r="G6" i="32"/>
  <c r="AQ11" i="9"/>
  <c r="H11" i="34" s="1"/>
  <c r="H11" i="28"/>
  <c r="AQ32" i="9"/>
  <c r="P16" i="34" s="1"/>
  <c r="H9" i="32"/>
  <c r="AP13" i="9"/>
  <c r="G13" i="34" s="1"/>
  <c r="G13" i="28"/>
  <c r="J3" i="9"/>
  <c r="M45" i="9"/>
  <c r="E13" i="28"/>
  <c r="AQ15" i="9"/>
  <c r="H15" i="34" s="1"/>
  <c r="H15" i="28"/>
  <c r="AQ16" i="9"/>
  <c r="H16" i="34" s="1"/>
  <c r="H16" i="28"/>
  <c r="F6" i="32"/>
  <c r="L45" i="9"/>
  <c r="D13" i="28"/>
  <c r="AQ33" i="9"/>
  <c r="P17" i="34" s="1"/>
  <c r="H10" i="32"/>
  <c r="AQ17" i="9"/>
  <c r="H17" i="34" s="1"/>
  <c r="H17" i="28"/>
  <c r="AO13" i="9"/>
  <c r="F13" i="34" s="1"/>
  <c r="F13" i="28"/>
  <c r="AQ8" i="9"/>
  <c r="H8" i="34" s="1"/>
  <c r="H8" i="28"/>
  <c r="J65" i="9"/>
  <c r="AQ30" i="9"/>
  <c r="P14" i="34" s="1"/>
  <c r="H7" i="32"/>
  <c r="R32" i="9"/>
  <c r="R57" i="9" s="1"/>
  <c r="B13" i="26" s="1"/>
  <c r="AQ14" i="9"/>
  <c r="H14" i="34" s="1"/>
  <c r="H14" i="28"/>
  <c r="AQ9" i="9"/>
  <c r="H9" i="34" s="1"/>
  <c r="H9" i="28"/>
  <c r="AQ7" i="9"/>
  <c r="H7" i="34" s="1"/>
  <c r="H7" i="28"/>
  <c r="H6" i="31"/>
  <c r="AC42" i="6"/>
  <c r="AQ10" i="9"/>
  <c r="H10" i="34" s="1"/>
  <c r="H10" i="28"/>
  <c r="AQ18" i="9"/>
  <c r="H18" i="34" s="1"/>
  <c r="H18" i="28"/>
  <c r="M65" i="9"/>
  <c r="E6" i="32"/>
  <c r="C6" i="32"/>
  <c r="X33" i="9"/>
  <c r="X58" i="9" s="1"/>
  <c r="H14" i="26" s="1"/>
  <c r="X35" i="9"/>
  <c r="X60" i="9" s="1"/>
  <c r="H16" i="26" s="1"/>
  <c r="X29" i="9"/>
  <c r="X54" i="9" s="1"/>
  <c r="H10" i="26" s="1"/>
  <c r="X36" i="9"/>
  <c r="X61" i="9" s="1"/>
  <c r="H17" i="26" s="1"/>
  <c r="R61" i="9"/>
  <c r="X38" i="9"/>
  <c r="X63" i="9" s="1"/>
  <c r="H19" i="26" s="1"/>
  <c r="AG65" i="9"/>
  <c r="X13" i="34" s="1"/>
  <c r="L3" i="9"/>
  <c r="K65" i="9"/>
  <c r="L65" i="9"/>
  <c r="AM36" i="9"/>
  <c r="L20" i="34" s="1"/>
  <c r="K3" i="9"/>
  <c r="AN29" i="9"/>
  <c r="M13" i="34" s="1"/>
  <c r="M3" i="9"/>
  <c r="O3" i="9"/>
  <c r="O65" i="9"/>
  <c r="AP29" i="9"/>
  <c r="O13" i="34" s="1"/>
  <c r="N22" i="9"/>
  <c r="U32" i="9"/>
  <c r="U57" i="9" s="1"/>
  <c r="E13" i="26" s="1"/>
  <c r="AN36" i="9"/>
  <c r="M20" i="34" s="1"/>
  <c r="V24" i="37"/>
  <c r="AM13" i="9"/>
  <c r="D13" i="34" s="1"/>
  <c r="L47" i="9"/>
  <c r="K22" i="9"/>
  <c r="V25" i="9"/>
  <c r="V50" i="9" s="1"/>
  <c r="F6" i="26" s="1"/>
  <c r="T25" i="9"/>
  <c r="T50" i="9" s="1"/>
  <c r="D6" i="26" s="1"/>
  <c r="V51" i="37"/>
  <c r="V45" i="37"/>
  <c r="M47" i="9"/>
  <c r="L41" i="9"/>
  <c r="L39" i="9"/>
  <c r="D20" i="28" s="1"/>
  <c r="AK36" i="9"/>
  <c r="J20" i="34" s="1"/>
  <c r="O2" i="9"/>
  <c r="AP36" i="9"/>
  <c r="O20" i="34" s="1"/>
  <c r="J39" i="9"/>
  <c r="J41" i="9"/>
  <c r="P25" i="9"/>
  <c r="AK6" i="9"/>
  <c r="B6" i="34" s="1"/>
  <c r="N45" i="9"/>
  <c r="N23" i="9"/>
  <c r="V32" i="9"/>
  <c r="O45" i="9"/>
  <c r="O23" i="9"/>
  <c r="O39" i="9"/>
  <c r="O41" i="9"/>
  <c r="J45" i="9"/>
  <c r="P32" i="9"/>
  <c r="H13" i="28" s="1"/>
  <c r="AL36" i="9"/>
  <c r="K20" i="34" s="1"/>
  <c r="W25" i="9"/>
  <c r="J47" i="9"/>
  <c r="P50" i="9"/>
  <c r="AK29" i="9"/>
  <c r="J13" i="34" s="1"/>
  <c r="N41" i="9"/>
  <c r="AO6" i="9"/>
  <c r="F6" i="34" s="1"/>
  <c r="N39" i="9"/>
  <c r="F20" i="28" s="1"/>
  <c r="X27" i="9"/>
  <c r="X52" i="9" s="1"/>
  <c r="H8" i="26" s="1"/>
  <c r="O22" i="9"/>
  <c r="R51" i="9"/>
  <c r="B7" i="26" s="1"/>
  <c r="X26" i="9"/>
  <c r="X51" i="9" s="1"/>
  <c r="H7" i="26" s="1"/>
  <c r="R25" i="9"/>
  <c r="AK13" i="9"/>
  <c r="B13" i="34" s="1"/>
  <c r="K45" i="9"/>
  <c r="S25" i="9"/>
  <c r="T58" i="9"/>
  <c r="D14" i="26" s="1"/>
  <c r="T32" i="9"/>
  <c r="P20" i="9"/>
  <c r="N3" i="9"/>
  <c r="N47" i="9"/>
  <c r="AO36" i="9"/>
  <c r="N20" i="34" s="1"/>
  <c r="AN13" i="9"/>
  <c r="E13" i="34" s="1"/>
  <c r="W62" i="9"/>
  <c r="G18" i="26" s="1"/>
  <c r="X37" i="9"/>
  <c r="X62" i="9" s="1"/>
  <c r="H18" i="26" s="1"/>
  <c r="K41" i="9"/>
  <c r="K39" i="9"/>
  <c r="U25" i="9"/>
  <c r="W32" i="9"/>
  <c r="AL6" i="9"/>
  <c r="C6" i="34" s="1"/>
  <c r="S58" i="9"/>
  <c r="C14" i="26" s="1"/>
  <c r="S32" i="9"/>
  <c r="X30" i="9"/>
  <c r="X55" i="9" s="1"/>
  <c r="H11" i="26" s="1"/>
  <c r="O47" i="9"/>
  <c r="M41" i="9"/>
  <c r="M39" i="9"/>
  <c r="E20" i="28" s="1"/>
  <c r="N65" i="9"/>
  <c r="X28" i="9"/>
  <c r="X53" i="9" s="1"/>
  <c r="H9" i="26" s="1"/>
  <c r="AN6" i="9"/>
  <c r="E6" i="34" s="1"/>
  <c r="X34" i="9"/>
  <c r="X59" i="9" s="1"/>
  <c r="H15" i="26" s="1"/>
  <c r="P2" i="9"/>
  <c r="AM6" i="9"/>
  <c r="D6" i="34" s="1"/>
  <c r="AO29" i="9"/>
  <c r="N13" i="34" s="1"/>
  <c r="K47" i="9"/>
  <c r="L48" i="9"/>
  <c r="AL29" i="9"/>
  <c r="K13" i="34" s="1"/>
  <c r="AL13" i="9"/>
  <c r="C13" i="34" s="1"/>
  <c r="M46" i="9" l="1"/>
  <c r="E13" i="32"/>
  <c r="J40" i="9"/>
  <c r="B20" i="28"/>
  <c r="J46" i="9"/>
  <c r="B13" i="32"/>
  <c r="N46" i="9"/>
  <c r="F13" i="32"/>
  <c r="L46" i="9"/>
  <c r="D13" i="32"/>
  <c r="K40" i="9"/>
  <c r="C20" i="28"/>
  <c r="AQ6" i="9"/>
  <c r="H6" i="34" s="1"/>
  <c r="H6" i="28"/>
  <c r="R83" i="9"/>
  <c r="B17" i="26"/>
  <c r="O46" i="9"/>
  <c r="G13" i="32"/>
  <c r="O40" i="9"/>
  <c r="G20" i="28"/>
  <c r="K46" i="9"/>
  <c r="C13" i="32"/>
  <c r="P3" i="9"/>
  <c r="H6" i="32"/>
  <c r="X32" i="9"/>
  <c r="V65" i="37"/>
  <c r="V27" i="37"/>
  <c r="V47" i="37"/>
  <c r="AL20" i="9"/>
  <c r="C20" i="34" s="1"/>
  <c r="AP20" i="9"/>
  <c r="G20" i="34" s="1"/>
  <c r="W57" i="9"/>
  <c r="G13" i="26" s="1"/>
  <c r="U50" i="9"/>
  <c r="E6" i="26" s="1"/>
  <c r="U39" i="9"/>
  <c r="X25" i="9"/>
  <c r="R39" i="9"/>
  <c r="R50" i="9"/>
  <c r="B6" i="26" s="1"/>
  <c r="AK20" i="9"/>
  <c r="B20" i="34" s="1"/>
  <c r="L40" i="9"/>
  <c r="AM20" i="9"/>
  <c r="D20" i="34" s="1"/>
  <c r="V57" i="9"/>
  <c r="T57" i="9"/>
  <c r="D13" i="26" s="1"/>
  <c r="T39" i="9"/>
  <c r="P39" i="9"/>
  <c r="P43" i="9"/>
  <c r="P41" i="9"/>
  <c r="N40" i="9"/>
  <c r="AO20" i="9"/>
  <c r="F20" i="34" s="1"/>
  <c r="M40" i="9"/>
  <c r="AN20" i="9"/>
  <c r="E20" i="34" s="1"/>
  <c r="AQ36" i="9"/>
  <c r="P20" i="34" s="1"/>
  <c r="AQ13" i="9"/>
  <c r="H13" i="34" s="1"/>
  <c r="P42" i="9"/>
  <c r="V39" i="9"/>
  <c r="W50" i="9"/>
  <c r="G6" i="26" s="1"/>
  <c r="W39" i="9"/>
  <c r="S57" i="9"/>
  <c r="S39" i="9"/>
  <c r="S50" i="9"/>
  <c r="C6" i="26" s="1"/>
  <c r="P47" i="9"/>
  <c r="H13" i="32" s="1"/>
  <c r="AQ29" i="9"/>
  <c r="P13" i="34" s="1"/>
  <c r="F13" i="26" l="1"/>
  <c r="AC98" i="6"/>
  <c r="AC101" i="6" s="1"/>
  <c r="Q42" i="9"/>
  <c r="AD98" i="6" s="1"/>
  <c r="AC99" i="6"/>
  <c r="AC102" i="6" s="1"/>
  <c r="Q43" i="9"/>
  <c r="AD99" i="6" s="1"/>
  <c r="C13" i="26"/>
  <c r="P40" i="9"/>
  <c r="H20" i="28"/>
  <c r="X57" i="9"/>
  <c r="H13" i="26" s="1"/>
  <c r="AQ20" i="9"/>
  <c r="H20" i="34" s="1"/>
  <c r="W64" i="9"/>
  <c r="G20" i="26" s="1"/>
  <c r="S64" i="9"/>
  <c r="R64" i="9"/>
  <c r="V64" i="9"/>
  <c r="F20" i="26" s="1"/>
  <c r="X39" i="9"/>
  <c r="X50" i="9"/>
  <c r="H6" i="26" s="1"/>
  <c r="P44" i="9"/>
  <c r="AC100" i="6" s="1"/>
  <c r="T64" i="9"/>
  <c r="D20" i="26" s="1"/>
  <c r="U64" i="9"/>
  <c r="E20" i="26" s="1"/>
  <c r="B20" i="26" l="1"/>
  <c r="C20" i="26"/>
  <c r="P45" i="9"/>
  <c r="X64" i="9"/>
  <c r="H20" i="26" l="1"/>
  <c r="A27" i="1" l="1"/>
  <c r="A26" i="1"/>
  <c r="A25" i="1"/>
  <c r="A24" i="1"/>
  <c r="A22" i="1"/>
  <c r="A19" i="1" l="1"/>
  <c r="A18" i="1"/>
  <c r="A17" i="1"/>
  <c r="A16" i="1"/>
  <c r="AJ29" i="4" l="1"/>
  <c r="AJ23" i="20" l="1"/>
  <c r="AJ15" i="20"/>
  <c r="AJ30" i="20"/>
  <c r="AJ18" i="20"/>
  <c r="AJ27" i="20"/>
  <c r="AJ35" i="20"/>
  <c r="AJ14" i="20" l="1"/>
  <c r="AJ26" i="20"/>
  <c r="M23" i="36"/>
  <c r="AA23" i="36" s="1"/>
  <c r="AA32" i="36" s="1"/>
  <c r="L23" i="36"/>
  <c r="AA3" i="36"/>
  <c r="B214" i="11" l="1"/>
  <c r="B208" i="11"/>
  <c r="B207" i="11"/>
  <c r="B206" i="11"/>
  <c r="B205" i="11"/>
  <c r="A573" i="9" l="1"/>
  <c r="A597" i="9"/>
  <c r="A617" i="9"/>
  <c r="A658" i="9"/>
  <c r="A682" i="9"/>
  <c r="A702" i="9"/>
  <c r="A743" i="9"/>
  <c r="A767" i="9"/>
  <c r="A787" i="9"/>
  <c r="A827" i="9"/>
  <c r="A851" i="9"/>
  <c r="A871" i="9"/>
  <c r="A934" i="9"/>
  <c r="A954" i="9"/>
  <c r="A911" i="9"/>
  <c r="A532" i="9" l="1"/>
  <c r="A509" i="9"/>
  <c r="A484" i="9"/>
  <c r="A440" i="9"/>
  <c r="A417" i="9"/>
  <c r="A392" i="9"/>
  <c r="A348" i="9"/>
  <c r="A325" i="9"/>
  <c r="A300" i="9"/>
  <c r="A256" i="9"/>
  <c r="A233" i="9"/>
  <c r="A208" i="9"/>
  <c r="A164" i="9"/>
  <c r="A141" i="9"/>
  <c r="A115" i="9"/>
  <c r="D59" i="6" l="1"/>
  <c r="E59" i="6"/>
  <c r="K143" i="9"/>
  <c r="K158" i="9" s="1"/>
  <c r="A76" i="38"/>
  <c r="A75" i="38"/>
  <c r="A74" i="38"/>
  <c r="Q29" i="38"/>
  <c r="R29" i="38" s="1"/>
  <c r="S29" i="38" s="1"/>
  <c r="T29" i="38" s="1"/>
  <c r="U29" i="38" s="1"/>
  <c r="K29" i="38"/>
  <c r="J29" i="38" s="1"/>
  <c r="I29" i="38" s="1"/>
  <c r="H29" i="38" s="1"/>
  <c r="G29" i="38" s="1"/>
  <c r="F29" i="38" s="1"/>
  <c r="E29" i="38" s="1"/>
  <c r="D29" i="38" s="1"/>
  <c r="C29" i="38" s="1"/>
  <c r="H19" i="36"/>
  <c r="E19" i="36"/>
  <c r="K18" i="36"/>
  <c r="I18" i="36"/>
  <c r="F18" i="36"/>
  <c r="E18" i="36"/>
  <c r="C18" i="36"/>
  <c r="K7" i="36"/>
  <c r="I7" i="36"/>
  <c r="H7" i="36"/>
  <c r="G7" i="36"/>
  <c r="F7" i="36"/>
  <c r="E7" i="36"/>
  <c r="C7" i="36"/>
  <c r="B7" i="36"/>
  <c r="K6" i="36"/>
  <c r="I6" i="36"/>
  <c r="H6" i="36"/>
  <c r="G6" i="36"/>
  <c r="F6" i="36"/>
  <c r="E6" i="36"/>
  <c r="C6" i="36"/>
  <c r="B6" i="36"/>
  <c r="G17" i="36"/>
  <c r="C17" i="36"/>
  <c r="B17" i="36"/>
  <c r="I16" i="36"/>
  <c r="K15" i="36"/>
  <c r="I15" i="36"/>
  <c r="H15" i="36"/>
  <c r="F15" i="36"/>
  <c r="K14" i="36"/>
  <c r="I14" i="36"/>
  <c r="G14" i="36"/>
  <c r="F14" i="36"/>
  <c r="E14" i="36"/>
  <c r="C14" i="36"/>
  <c r="Q2" i="38"/>
  <c r="R2" i="38" s="1"/>
  <c r="K2" i="38"/>
  <c r="J2" i="38" s="1"/>
  <c r="I2" i="38" s="1"/>
  <c r="H2" i="38" s="1"/>
  <c r="G2" i="38" s="1"/>
  <c r="F2" i="38" s="1"/>
  <c r="E2" i="38" s="1"/>
  <c r="D2" i="38" s="1"/>
  <c r="C2" i="38" s="1"/>
  <c r="C85" i="37"/>
  <c r="D85" i="37" s="1"/>
  <c r="I85" i="37" s="1"/>
  <c r="D84" i="37"/>
  <c r="I84" i="37" s="1"/>
  <c r="C83" i="37"/>
  <c r="D83" i="37" s="1"/>
  <c r="I83" i="37" s="1"/>
  <c r="D82" i="37"/>
  <c r="I82" i="37" s="1"/>
  <c r="B78" i="37"/>
  <c r="C76" i="37"/>
  <c r="D76" i="37" s="1"/>
  <c r="I76" i="37" s="1"/>
  <c r="D75" i="37"/>
  <c r="I75" i="37" s="1"/>
  <c r="C74" i="37"/>
  <c r="D73" i="37"/>
  <c r="I73" i="37" s="1"/>
  <c r="D65" i="37"/>
  <c r="C65" i="37"/>
  <c r="T64" i="37"/>
  <c r="S64" i="37"/>
  <c r="R64" i="37"/>
  <c r="T63" i="37"/>
  <c r="S63" i="37"/>
  <c r="R63" i="37"/>
  <c r="Q63" i="37"/>
  <c r="P63" i="37"/>
  <c r="O63" i="37"/>
  <c r="N63" i="37"/>
  <c r="M63" i="37"/>
  <c r="L63" i="37"/>
  <c r="K63" i="37"/>
  <c r="J63" i="37"/>
  <c r="I63" i="37"/>
  <c r="H63" i="37"/>
  <c r="G63" i="37"/>
  <c r="F63" i="37"/>
  <c r="E63" i="37"/>
  <c r="D63" i="37"/>
  <c r="C63" i="37"/>
  <c r="T62" i="37"/>
  <c r="S62" i="37"/>
  <c r="R62" i="37"/>
  <c r="Q62" i="37"/>
  <c r="P62" i="37"/>
  <c r="O62" i="37"/>
  <c r="N62" i="37"/>
  <c r="M62" i="37"/>
  <c r="L62" i="37"/>
  <c r="K62" i="37"/>
  <c r="J62" i="37"/>
  <c r="I62" i="37"/>
  <c r="H62" i="37"/>
  <c r="G62" i="37"/>
  <c r="F62" i="37"/>
  <c r="E62" i="37"/>
  <c r="D62" i="37"/>
  <c r="C62" i="37"/>
  <c r="T61" i="37"/>
  <c r="S61" i="37"/>
  <c r="R61" i="37"/>
  <c r="Q61" i="37"/>
  <c r="P61" i="37"/>
  <c r="O61" i="37"/>
  <c r="N61" i="37"/>
  <c r="M61" i="37"/>
  <c r="L61" i="37"/>
  <c r="K61" i="37"/>
  <c r="J61" i="37"/>
  <c r="I61" i="37"/>
  <c r="H61" i="37"/>
  <c r="G61" i="37"/>
  <c r="F61" i="37"/>
  <c r="E61" i="37"/>
  <c r="D61" i="37"/>
  <c r="C61" i="37"/>
  <c r="T60" i="37"/>
  <c r="S60" i="37"/>
  <c r="R60" i="37"/>
  <c r="Q60" i="37"/>
  <c r="P60" i="37"/>
  <c r="O60" i="37"/>
  <c r="N60" i="37"/>
  <c r="M60" i="37"/>
  <c r="L60" i="37"/>
  <c r="K60" i="37"/>
  <c r="J60" i="37"/>
  <c r="I60" i="37"/>
  <c r="H60" i="37"/>
  <c r="G60" i="37"/>
  <c r="F60" i="37"/>
  <c r="E60" i="37"/>
  <c r="D60" i="37"/>
  <c r="C60" i="37"/>
  <c r="T59" i="37"/>
  <c r="S59" i="37"/>
  <c r="R59" i="37"/>
  <c r="Q59" i="37"/>
  <c r="P59" i="37"/>
  <c r="O59" i="37"/>
  <c r="N59" i="37"/>
  <c r="M59" i="37"/>
  <c r="L59" i="37"/>
  <c r="K59" i="37"/>
  <c r="J59" i="37"/>
  <c r="I59" i="37"/>
  <c r="H59" i="37"/>
  <c r="G59" i="37"/>
  <c r="F59" i="37"/>
  <c r="E59" i="37"/>
  <c r="D59" i="37"/>
  <c r="C59" i="37"/>
  <c r="D58" i="37"/>
  <c r="C58" i="37"/>
  <c r="U57" i="37"/>
  <c r="T57" i="37"/>
  <c r="S57" i="37"/>
  <c r="R57" i="37"/>
  <c r="U56" i="37"/>
  <c r="T56" i="37"/>
  <c r="S56" i="37"/>
  <c r="R56" i="37"/>
  <c r="Q56" i="37"/>
  <c r="P56" i="37"/>
  <c r="O56" i="37"/>
  <c r="N56" i="37"/>
  <c r="M56" i="37"/>
  <c r="L56" i="37"/>
  <c r="K56" i="37"/>
  <c r="J56" i="37"/>
  <c r="I56" i="37"/>
  <c r="H56" i="37"/>
  <c r="G56" i="37"/>
  <c r="F56" i="37"/>
  <c r="E56" i="37"/>
  <c r="D56" i="37"/>
  <c r="C56" i="37"/>
  <c r="T55" i="37"/>
  <c r="S55" i="37"/>
  <c r="R55" i="37"/>
  <c r="Q55" i="37"/>
  <c r="P55" i="37"/>
  <c r="O55" i="37"/>
  <c r="N55" i="37"/>
  <c r="M55" i="37"/>
  <c r="L55" i="37"/>
  <c r="K55" i="37"/>
  <c r="J55" i="37"/>
  <c r="I55" i="37"/>
  <c r="H55" i="37"/>
  <c r="G55" i="37"/>
  <c r="F55" i="37"/>
  <c r="E55" i="37"/>
  <c r="D55" i="37"/>
  <c r="C55" i="37"/>
  <c r="T54" i="37"/>
  <c r="S54" i="37"/>
  <c r="R54" i="37"/>
  <c r="Q54" i="37"/>
  <c r="P54" i="37"/>
  <c r="O54" i="37"/>
  <c r="N54" i="37"/>
  <c r="M54" i="37"/>
  <c r="L54" i="37"/>
  <c r="K54" i="37"/>
  <c r="J54" i="37"/>
  <c r="I54" i="37"/>
  <c r="H54" i="37"/>
  <c r="G54" i="37"/>
  <c r="F54" i="37"/>
  <c r="E54" i="37"/>
  <c r="D54" i="37"/>
  <c r="C54" i="37"/>
  <c r="T53" i="37"/>
  <c r="S53" i="37"/>
  <c r="R53" i="37"/>
  <c r="Q53" i="37"/>
  <c r="P53" i="37"/>
  <c r="O53" i="37"/>
  <c r="N53" i="37"/>
  <c r="M53" i="37"/>
  <c r="L53" i="37"/>
  <c r="K53" i="37"/>
  <c r="J53" i="37"/>
  <c r="I53" i="37"/>
  <c r="H53" i="37"/>
  <c r="G53" i="37"/>
  <c r="F53" i="37"/>
  <c r="E53" i="37"/>
  <c r="D53" i="37"/>
  <c r="C53" i="37"/>
  <c r="T52" i="37"/>
  <c r="S52" i="37"/>
  <c r="R52" i="37"/>
  <c r="Q52" i="37"/>
  <c r="P52" i="37"/>
  <c r="O52" i="37"/>
  <c r="N52" i="37"/>
  <c r="M52" i="37"/>
  <c r="L52" i="37"/>
  <c r="K52" i="37"/>
  <c r="J52" i="37"/>
  <c r="I52" i="37"/>
  <c r="H52" i="37"/>
  <c r="G52" i="37"/>
  <c r="F52" i="37"/>
  <c r="E52" i="37"/>
  <c r="D52" i="37"/>
  <c r="C52" i="37"/>
  <c r="D51" i="37"/>
  <c r="C51" i="37"/>
  <c r="D47" i="37"/>
  <c r="C47" i="37"/>
  <c r="U44" i="37"/>
  <c r="U43" i="37"/>
  <c r="U63" i="37" s="1"/>
  <c r="U42" i="37"/>
  <c r="U62" i="37" s="1"/>
  <c r="U41" i="37"/>
  <c r="U61" i="37" s="1"/>
  <c r="U40" i="37"/>
  <c r="U60" i="37" s="1"/>
  <c r="U39" i="37"/>
  <c r="U59" i="37" s="1"/>
  <c r="T38" i="37"/>
  <c r="S38" i="37"/>
  <c r="R38" i="37"/>
  <c r="Q38" i="37"/>
  <c r="P38" i="37"/>
  <c r="O38" i="37"/>
  <c r="N38" i="37"/>
  <c r="M38" i="37"/>
  <c r="L38" i="37"/>
  <c r="K38" i="37"/>
  <c r="J38" i="37"/>
  <c r="J58" i="37" s="1"/>
  <c r="I38" i="37"/>
  <c r="I58" i="37" s="1"/>
  <c r="H38" i="37"/>
  <c r="G38" i="37"/>
  <c r="F38" i="37"/>
  <c r="E38" i="37"/>
  <c r="E58" i="37" s="1"/>
  <c r="U35" i="37"/>
  <c r="U34" i="37"/>
  <c r="U33" i="37"/>
  <c r="U53" i="37" s="1"/>
  <c r="U32" i="37"/>
  <c r="U52" i="37" s="1"/>
  <c r="T31" i="37"/>
  <c r="S31" i="37"/>
  <c r="R31" i="37"/>
  <c r="Q31" i="37"/>
  <c r="P31" i="37"/>
  <c r="O31" i="37"/>
  <c r="N31" i="37"/>
  <c r="M31" i="37"/>
  <c r="L31" i="37"/>
  <c r="K31" i="37"/>
  <c r="J31" i="37"/>
  <c r="I31" i="37"/>
  <c r="H31" i="37"/>
  <c r="G31" i="37"/>
  <c r="F31" i="37"/>
  <c r="F51" i="37" s="1"/>
  <c r="E31" i="37"/>
  <c r="D27" i="37"/>
  <c r="C27" i="37"/>
  <c r="T26" i="37"/>
  <c r="S26" i="37"/>
  <c r="R26" i="37"/>
  <c r="Q26" i="37"/>
  <c r="P26" i="37"/>
  <c r="O26" i="37"/>
  <c r="N26" i="37"/>
  <c r="M26" i="37"/>
  <c r="L26" i="37"/>
  <c r="K26" i="37"/>
  <c r="J26" i="37"/>
  <c r="I26" i="37"/>
  <c r="H26" i="37"/>
  <c r="G26" i="37"/>
  <c r="F26" i="37"/>
  <c r="E26" i="37"/>
  <c r="D26" i="37"/>
  <c r="C26" i="37"/>
  <c r="U25" i="37"/>
  <c r="T25" i="37"/>
  <c r="S25" i="37"/>
  <c r="R25" i="37"/>
  <c r="Q25" i="37"/>
  <c r="P25" i="37"/>
  <c r="O25" i="37"/>
  <c r="N25" i="37"/>
  <c r="M25" i="37"/>
  <c r="L25" i="37"/>
  <c r="K25" i="37"/>
  <c r="J25" i="37"/>
  <c r="J24" i="37" s="1"/>
  <c r="I25" i="37"/>
  <c r="I24" i="37" s="1"/>
  <c r="H25" i="37"/>
  <c r="H24" i="37" s="1"/>
  <c r="G25" i="37"/>
  <c r="G24" i="37" s="1"/>
  <c r="F25" i="37"/>
  <c r="F24" i="37" s="1"/>
  <c r="E25" i="37"/>
  <c r="E24" i="37" s="1"/>
  <c r="D25" i="37"/>
  <c r="D24" i="37" s="1"/>
  <c r="C25" i="37"/>
  <c r="C24" i="37" s="1"/>
  <c r="U23" i="37"/>
  <c r="T23" i="37"/>
  <c r="S23" i="37"/>
  <c r="R23" i="37"/>
  <c r="Q23" i="37"/>
  <c r="P23" i="37"/>
  <c r="O23" i="37"/>
  <c r="N23" i="37"/>
  <c r="M23" i="37"/>
  <c r="L23" i="37"/>
  <c r="K23" i="37"/>
  <c r="J23" i="37"/>
  <c r="I23" i="37"/>
  <c r="H23" i="37"/>
  <c r="G23" i="37"/>
  <c r="F23" i="37"/>
  <c r="E23" i="37"/>
  <c r="D23" i="37"/>
  <c r="C23" i="37"/>
  <c r="U21" i="37"/>
  <c r="U15" i="37" s="1"/>
  <c r="T15" i="37"/>
  <c r="S15" i="37"/>
  <c r="R15" i="37"/>
  <c r="Q15" i="37"/>
  <c r="P15" i="37"/>
  <c r="O15" i="37"/>
  <c r="N15" i="37"/>
  <c r="M15" i="37"/>
  <c r="L15" i="37"/>
  <c r="K15" i="37"/>
  <c r="W15" i="37" s="1"/>
  <c r="U6" i="37"/>
  <c r="T6" i="37"/>
  <c r="S6" i="37"/>
  <c r="R6" i="37"/>
  <c r="Q6" i="37"/>
  <c r="P6" i="37"/>
  <c r="O6" i="37"/>
  <c r="N6" i="37"/>
  <c r="M6" i="37"/>
  <c r="L6" i="37"/>
  <c r="K6" i="37"/>
  <c r="W6" i="37" s="1"/>
  <c r="J2" i="37"/>
  <c r="I2" i="37"/>
  <c r="H2" i="37"/>
  <c r="G2" i="37"/>
  <c r="F2" i="37"/>
  <c r="E2" i="37"/>
  <c r="D2" i="37"/>
  <c r="A164"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163" i="24"/>
  <c r="Z162" i="24"/>
  <c r="Z161" i="24" s="1"/>
  <c r="Y162" i="24"/>
  <c r="Y161" i="24" s="1"/>
  <c r="X162" i="24"/>
  <c r="X161" i="24" s="1"/>
  <c r="W162" i="24"/>
  <c r="W161" i="24" s="1"/>
  <c r="V162" i="24"/>
  <c r="V161" i="24" s="1"/>
  <c r="U162" i="24"/>
  <c r="U161" i="24" s="1"/>
  <c r="T162" i="24"/>
  <c r="T161" i="24" s="1"/>
  <c r="S162" i="24"/>
  <c r="S161" i="24" s="1"/>
  <c r="R162" i="24"/>
  <c r="R161" i="24" s="1"/>
  <c r="Q162" i="24"/>
  <c r="Q161" i="24" s="1"/>
  <c r="P162" i="24"/>
  <c r="P161" i="24" s="1"/>
  <c r="O162" i="24"/>
  <c r="O161" i="24" s="1"/>
  <c r="N162" i="24"/>
  <c r="N161" i="24" s="1"/>
  <c r="M162" i="24"/>
  <c r="M161" i="24" s="1"/>
  <c r="L162" i="24"/>
  <c r="L161" i="24" s="1"/>
  <c r="K162" i="24"/>
  <c r="K161" i="24" s="1"/>
  <c r="J162" i="24"/>
  <c r="J161" i="24" s="1"/>
  <c r="I162" i="24"/>
  <c r="I161" i="24" s="1"/>
  <c r="H162" i="24"/>
  <c r="H161" i="24" s="1"/>
  <c r="G162" i="24"/>
  <c r="G161" i="24" s="1"/>
  <c r="F162" i="24"/>
  <c r="F161" i="24" s="1"/>
  <c r="E162" i="24"/>
  <c r="D162" i="24"/>
  <c r="C162" i="24"/>
  <c r="B162" i="24"/>
  <c r="E161" i="24"/>
  <c r="D161" i="24"/>
  <c r="C161" i="24"/>
  <c r="B161" i="24"/>
  <c r="Z160" i="24"/>
  <c r="Y160" i="24"/>
  <c r="X160" i="24"/>
  <c r="W160" i="24"/>
  <c r="V160" i="24"/>
  <c r="U160" i="24"/>
  <c r="T160" i="24"/>
  <c r="S160" i="24"/>
  <c r="R160" i="24"/>
  <c r="Q160" i="24"/>
  <c r="P160" i="24"/>
  <c r="O160" i="24"/>
  <c r="N160" i="24"/>
  <c r="M160" i="24"/>
  <c r="L160" i="24"/>
  <c r="K160" i="24"/>
  <c r="J160" i="24"/>
  <c r="I160" i="24"/>
  <c r="H160" i="24"/>
  <c r="G160" i="24"/>
  <c r="F160" i="24"/>
  <c r="E160" i="24"/>
  <c r="D160" i="24"/>
  <c r="C160" i="24"/>
  <c r="B160" i="24"/>
  <c r="A160" i="24"/>
  <c r="Z159" i="24"/>
  <c r="Y159" i="24"/>
  <c r="X159" i="24"/>
  <c r="W159" i="24"/>
  <c r="V159" i="24"/>
  <c r="U159" i="24"/>
  <c r="T159" i="24"/>
  <c r="S159" i="24"/>
  <c r="R159" i="24"/>
  <c r="Q159" i="24"/>
  <c r="P159" i="24"/>
  <c r="O159" i="24"/>
  <c r="N159" i="24"/>
  <c r="M159" i="24"/>
  <c r="L159" i="24"/>
  <c r="K159" i="24"/>
  <c r="J159" i="24"/>
  <c r="I159" i="24"/>
  <c r="H159" i="24"/>
  <c r="G159" i="24"/>
  <c r="F159" i="24"/>
  <c r="E159" i="24"/>
  <c r="D159" i="24"/>
  <c r="C159" i="24"/>
  <c r="B159" i="24"/>
  <c r="A159" i="24"/>
  <c r="Z158" i="24"/>
  <c r="Y158" i="24"/>
  <c r="X158" i="24"/>
  <c r="W158" i="24"/>
  <c r="V158" i="24"/>
  <c r="U158" i="24"/>
  <c r="T158" i="24"/>
  <c r="S158" i="24"/>
  <c r="R158" i="24"/>
  <c r="Q158" i="24"/>
  <c r="P158" i="24"/>
  <c r="O158" i="24"/>
  <c r="N158" i="24"/>
  <c r="M158" i="24"/>
  <c r="L158" i="24"/>
  <c r="K158" i="24"/>
  <c r="J158" i="24"/>
  <c r="I158" i="24"/>
  <c r="H158" i="24"/>
  <c r="G158" i="24"/>
  <c r="F158" i="24"/>
  <c r="E158" i="24"/>
  <c r="D158" i="24"/>
  <c r="C158" i="24"/>
  <c r="B158" i="24"/>
  <c r="Z126" i="24"/>
  <c r="Y126" i="24"/>
  <c r="X126" i="24"/>
  <c r="W126" i="24"/>
  <c r="V126" i="24"/>
  <c r="U126" i="24"/>
  <c r="T126" i="24"/>
  <c r="S126" i="24"/>
  <c r="R126" i="24"/>
  <c r="Q126" i="24"/>
  <c r="P126" i="24"/>
  <c r="O126" i="24"/>
  <c r="N126" i="24"/>
  <c r="M126" i="24"/>
  <c r="L126" i="24"/>
  <c r="K126" i="24"/>
  <c r="J126" i="24"/>
  <c r="I126" i="24"/>
  <c r="H126" i="24"/>
  <c r="G126" i="24"/>
  <c r="F126" i="24"/>
  <c r="Z125" i="24"/>
  <c r="Y125" i="24"/>
  <c r="X125" i="24"/>
  <c r="W125" i="24"/>
  <c r="V125" i="24"/>
  <c r="U125" i="24"/>
  <c r="T125" i="24"/>
  <c r="S125" i="24"/>
  <c r="R125" i="24"/>
  <c r="Q125" i="24"/>
  <c r="P125" i="24"/>
  <c r="O125" i="24"/>
  <c r="N125" i="24"/>
  <c r="M125" i="24"/>
  <c r="L125" i="24"/>
  <c r="K125" i="24"/>
  <c r="J125" i="24"/>
  <c r="I125" i="24"/>
  <c r="H125" i="24"/>
  <c r="G125" i="24"/>
  <c r="F125" i="24"/>
  <c r="Z124" i="24"/>
  <c r="Y124" i="24"/>
  <c r="X124" i="24"/>
  <c r="W124" i="24"/>
  <c r="V124" i="24"/>
  <c r="U124" i="24"/>
  <c r="T124" i="24"/>
  <c r="S124" i="24"/>
  <c r="R124" i="24"/>
  <c r="Q124" i="24"/>
  <c r="P124" i="24"/>
  <c r="O124" i="24"/>
  <c r="N124" i="24"/>
  <c r="M124" i="24"/>
  <c r="L124" i="24"/>
  <c r="K124" i="24"/>
  <c r="J124" i="24"/>
  <c r="I124" i="24"/>
  <c r="H124" i="24"/>
  <c r="G124" i="24"/>
  <c r="F124" i="24"/>
  <c r="AA121" i="24"/>
  <c r="Z121" i="24"/>
  <c r="Z127" i="24" s="1"/>
  <c r="Y121" i="24"/>
  <c r="Y127" i="24" s="1"/>
  <c r="X121" i="24"/>
  <c r="W121" i="24"/>
  <c r="V121" i="24"/>
  <c r="V127" i="24" s="1"/>
  <c r="U121" i="24"/>
  <c r="U127" i="24" s="1"/>
  <c r="T121" i="24"/>
  <c r="S121" i="24"/>
  <c r="S127" i="24" s="1"/>
  <c r="R121" i="24"/>
  <c r="R127" i="24" s="1"/>
  <c r="Q121" i="24"/>
  <c r="P121" i="24"/>
  <c r="O121" i="24"/>
  <c r="N121" i="24"/>
  <c r="M121" i="24"/>
  <c r="M127" i="24" s="1"/>
  <c r="L121" i="24"/>
  <c r="K121" i="24"/>
  <c r="K127" i="24" s="1"/>
  <c r="J121" i="24"/>
  <c r="J127" i="24" s="1"/>
  <c r="I121" i="24"/>
  <c r="I127" i="24" s="1"/>
  <c r="H121" i="24"/>
  <c r="H127" i="24" s="1"/>
  <c r="G121" i="24"/>
  <c r="G127" i="24" s="1"/>
  <c r="F121" i="24"/>
  <c r="F127" i="24" s="1"/>
  <c r="AG120" i="24"/>
  <c r="AF120" i="24"/>
  <c r="AG119" i="24"/>
  <c r="AF119" i="24"/>
  <c r="AG118" i="24"/>
  <c r="AF118" i="24"/>
  <c r="AA83" i="24"/>
  <c r="AB83" i="24" s="1"/>
  <c r="AC83" i="24" s="1"/>
  <c r="Z83" i="24"/>
  <c r="Y83" i="24"/>
  <c r="X83" i="24"/>
  <c r="W83" i="24"/>
  <c r="V83" i="24"/>
  <c r="U83" i="24"/>
  <c r="T83" i="24"/>
  <c r="S83" i="24"/>
  <c r="R83" i="24"/>
  <c r="Q83" i="24"/>
  <c r="P83" i="24"/>
  <c r="O83" i="24"/>
  <c r="N83" i="24"/>
  <c r="M83" i="24"/>
  <c r="L83" i="24"/>
  <c r="K83" i="24"/>
  <c r="J83" i="24"/>
  <c r="I83" i="24"/>
  <c r="H83" i="24"/>
  <c r="G83" i="24"/>
  <c r="F83" i="24"/>
  <c r="Z86" i="24"/>
  <c r="Y86" i="24"/>
  <c r="X86" i="24"/>
  <c r="W86" i="24"/>
  <c r="V86" i="24"/>
  <c r="U86" i="24"/>
  <c r="T86" i="24"/>
  <c r="S86" i="24"/>
  <c r="R86" i="24"/>
  <c r="Q86" i="24"/>
  <c r="P86" i="24"/>
  <c r="O86" i="24"/>
  <c r="N86" i="24"/>
  <c r="M86" i="24"/>
  <c r="L86" i="24"/>
  <c r="K86" i="24"/>
  <c r="J86" i="24"/>
  <c r="I86" i="24"/>
  <c r="H86" i="24"/>
  <c r="G86" i="24"/>
  <c r="F86" i="24"/>
  <c r="Z85" i="24"/>
  <c r="Y85" i="24"/>
  <c r="X85" i="24"/>
  <c r="W85" i="24"/>
  <c r="V85" i="24"/>
  <c r="U85" i="24"/>
  <c r="T85" i="24"/>
  <c r="S85" i="24"/>
  <c r="R85" i="24"/>
  <c r="Q85" i="24"/>
  <c r="P85" i="24"/>
  <c r="O85" i="24"/>
  <c r="N85" i="24"/>
  <c r="M85" i="24"/>
  <c r="L85" i="24"/>
  <c r="K85" i="24"/>
  <c r="J85" i="24"/>
  <c r="I85" i="24"/>
  <c r="H85" i="24"/>
  <c r="G85" i="24"/>
  <c r="F85" i="24"/>
  <c r="X84" i="24"/>
  <c r="V76" i="24"/>
  <c r="T84" i="24"/>
  <c r="S84" i="24"/>
  <c r="R84" i="24"/>
  <c r="Q84" i="24"/>
  <c r="P84" i="24"/>
  <c r="O84" i="24"/>
  <c r="N84" i="24"/>
  <c r="M84" i="24"/>
  <c r="L84" i="24"/>
  <c r="K84" i="24"/>
  <c r="J84" i="24"/>
  <c r="I84" i="24"/>
  <c r="H84" i="24"/>
  <c r="G84" i="24"/>
  <c r="F84" i="24"/>
  <c r="Z80" i="24"/>
  <c r="Y80" i="24"/>
  <c r="X80" i="24"/>
  <c r="W80" i="24"/>
  <c r="V80" i="24"/>
  <c r="U80" i="24"/>
  <c r="R80" i="24"/>
  <c r="Q80" i="24"/>
  <c r="P80" i="24"/>
  <c r="O80" i="24"/>
  <c r="N80" i="24"/>
  <c r="M80" i="24"/>
  <c r="J80" i="24"/>
  <c r="I80" i="24"/>
  <c r="H80" i="24"/>
  <c r="G80" i="24"/>
  <c r="F80" i="24"/>
  <c r="AB79" i="24"/>
  <c r="Y79" i="24"/>
  <c r="X79" i="24"/>
  <c r="W79" i="24"/>
  <c r="V79" i="24"/>
  <c r="U79" i="24"/>
  <c r="T79" i="24"/>
  <c r="Q79" i="24"/>
  <c r="P79" i="24"/>
  <c r="O79" i="24"/>
  <c r="N79" i="24"/>
  <c r="M79" i="24"/>
  <c r="L79" i="24"/>
  <c r="I79" i="24"/>
  <c r="H79" i="24"/>
  <c r="G79" i="24"/>
  <c r="F79" i="24"/>
  <c r="AB78" i="24"/>
  <c r="AA78" i="24"/>
  <c r="X78" i="24"/>
  <c r="W78" i="24"/>
  <c r="V78" i="24"/>
  <c r="U78" i="24"/>
  <c r="T78" i="24"/>
  <c r="S78" i="24"/>
  <c r="P78" i="24"/>
  <c r="O78" i="24"/>
  <c r="N78" i="24"/>
  <c r="M78" i="24"/>
  <c r="L78" i="24"/>
  <c r="K78" i="24"/>
  <c r="H78" i="24"/>
  <c r="G78" i="24"/>
  <c r="F78" i="24"/>
  <c r="A60" i="24"/>
  <c r="AX59" i="24" s="1"/>
  <c r="AY58" i="24"/>
  <c r="A58" i="24"/>
  <c r="AY57" i="24" s="1"/>
  <c r="AY56" i="24"/>
  <c r="AF56" i="24"/>
  <c r="AY55" i="24"/>
  <c r="A55" i="24"/>
  <c r="AY54" i="24" s="1"/>
  <c r="A54" i="24"/>
  <c r="AB50" i="24"/>
  <c r="AA50" i="24"/>
  <c r="Z50" i="24"/>
  <c r="Y50" i="24"/>
  <c r="X50" i="24"/>
  <c r="W50" i="24"/>
  <c r="V50" i="24"/>
  <c r="U50" i="24"/>
  <c r="T50" i="24"/>
  <c r="S50" i="24"/>
  <c r="R50" i="24"/>
  <c r="Q50" i="24"/>
  <c r="P50" i="24"/>
  <c r="O50" i="24"/>
  <c r="N50" i="24"/>
  <c r="M50" i="24"/>
  <c r="L50" i="24"/>
  <c r="K50" i="24"/>
  <c r="J50" i="24"/>
  <c r="I50" i="24"/>
  <c r="H50" i="24"/>
  <c r="G50" i="24"/>
  <c r="F50" i="24"/>
  <c r="AB49" i="24"/>
  <c r="AA49" i="24"/>
  <c r="Z49" i="24"/>
  <c r="Y49" i="24"/>
  <c r="X49" i="24"/>
  <c r="W49" i="24"/>
  <c r="V49" i="24"/>
  <c r="U49" i="24"/>
  <c r="T49" i="24"/>
  <c r="S49" i="24"/>
  <c r="R49" i="24"/>
  <c r="Q49" i="24"/>
  <c r="P49" i="24"/>
  <c r="O49" i="24"/>
  <c r="N49" i="24"/>
  <c r="M49" i="24"/>
  <c r="L49" i="24"/>
  <c r="K49" i="24"/>
  <c r="J49" i="24"/>
  <c r="I49" i="24"/>
  <c r="H49" i="24"/>
  <c r="G49" i="24"/>
  <c r="F49" i="24"/>
  <c r="AB48" i="24"/>
  <c r="AA48" i="24"/>
  <c r="Z48" i="24"/>
  <c r="Y48" i="24"/>
  <c r="X48" i="24"/>
  <c r="W48" i="24"/>
  <c r="V48" i="24"/>
  <c r="U48" i="24"/>
  <c r="T48" i="24"/>
  <c r="S48" i="24"/>
  <c r="R48" i="24"/>
  <c r="Q48" i="24"/>
  <c r="P48" i="24"/>
  <c r="O48" i="24"/>
  <c r="N48" i="24"/>
  <c r="M48" i="24"/>
  <c r="L48" i="24"/>
  <c r="K48" i="24"/>
  <c r="J48" i="24"/>
  <c r="I48" i="24"/>
  <c r="H48" i="24"/>
  <c r="G48" i="24"/>
  <c r="F48" i="24"/>
  <c r="AB47" i="24"/>
  <c r="AA47" i="24"/>
  <c r="Z47" i="24"/>
  <c r="Y47" i="24"/>
  <c r="X47" i="24"/>
  <c r="W47" i="24"/>
  <c r="V47" i="24"/>
  <c r="U47" i="24"/>
  <c r="T47" i="24"/>
  <c r="S47" i="24"/>
  <c r="R47" i="24"/>
  <c r="Q47" i="24"/>
  <c r="P47" i="24"/>
  <c r="O47" i="24"/>
  <c r="N47" i="24"/>
  <c r="M47" i="24"/>
  <c r="L47" i="24"/>
  <c r="K47" i="24"/>
  <c r="J47" i="24"/>
  <c r="I47" i="24"/>
  <c r="H47" i="24"/>
  <c r="G47" i="24"/>
  <c r="F47" i="24"/>
  <c r="AB46" i="24"/>
  <c r="AA46" i="24"/>
  <c r="Y39" i="24"/>
  <c r="W46" i="24"/>
  <c r="V46" i="24"/>
  <c r="U46" i="24"/>
  <c r="T46" i="24"/>
  <c r="S46" i="24"/>
  <c r="Q39" i="24"/>
  <c r="P46" i="24"/>
  <c r="O46" i="24"/>
  <c r="N46" i="24"/>
  <c r="M46" i="24"/>
  <c r="L46" i="24"/>
  <c r="K46" i="24"/>
  <c r="I39" i="24"/>
  <c r="H46" i="24"/>
  <c r="G46" i="24"/>
  <c r="F46" i="24"/>
  <c r="AB31" i="24"/>
  <c r="AA31" i="24"/>
  <c r="Z31" i="24"/>
  <c r="Y31" i="24"/>
  <c r="X31" i="24"/>
  <c r="W31" i="24"/>
  <c r="V31" i="24"/>
  <c r="U31" i="24"/>
  <c r="T31" i="24"/>
  <c r="S31" i="24"/>
  <c r="R31" i="24"/>
  <c r="Q31" i="24"/>
  <c r="P31" i="24"/>
  <c r="O31" i="24"/>
  <c r="N31" i="24"/>
  <c r="M31" i="24"/>
  <c r="L31" i="24"/>
  <c r="K31" i="24"/>
  <c r="J31" i="24"/>
  <c r="I31" i="24"/>
  <c r="H31" i="24"/>
  <c r="G31" i="24"/>
  <c r="F31" i="24"/>
  <c r="A25" i="24"/>
  <c r="A24" i="24"/>
  <c r="A23" i="24"/>
  <c r="A22" i="24"/>
  <c r="A21" i="24"/>
  <c r="AD20" i="24"/>
  <c r="AB20" i="24"/>
  <c r="AA20" i="24"/>
  <c r="Z20" i="24"/>
  <c r="Y20" i="24"/>
  <c r="X20" i="24"/>
  <c r="W20" i="24"/>
  <c r="V20" i="24"/>
  <c r="U20" i="24"/>
  <c r="T20" i="24"/>
  <c r="S20" i="24"/>
  <c r="R20" i="24"/>
  <c r="Q20" i="24"/>
  <c r="P20" i="24"/>
  <c r="O20" i="24"/>
  <c r="N20" i="24"/>
  <c r="M20" i="24"/>
  <c r="L20" i="24"/>
  <c r="K20" i="24"/>
  <c r="J20" i="24"/>
  <c r="I20" i="24"/>
  <c r="H20" i="24"/>
  <c r="G20" i="24"/>
  <c r="F20" i="24"/>
  <c r="Z21" i="24"/>
  <c r="Y21" i="24"/>
  <c r="Z10" i="24"/>
  <c r="Y10" i="24"/>
  <c r="X10" i="24"/>
  <c r="W10" i="24"/>
  <c r="V10" i="24"/>
  <c r="U10" i="24"/>
  <c r="T10" i="24"/>
  <c r="S10" i="24"/>
  <c r="R10" i="24"/>
  <c r="Q10" i="24"/>
  <c r="P10" i="24"/>
  <c r="O10" i="24"/>
  <c r="N10" i="24"/>
  <c r="M10" i="24"/>
  <c r="L10" i="24"/>
  <c r="K10" i="24"/>
  <c r="J10" i="24"/>
  <c r="I10" i="24"/>
  <c r="H10" i="24"/>
  <c r="G10" i="24"/>
  <c r="F10" i="24"/>
  <c r="E10" i="24"/>
  <c r="E164" i="24" s="1"/>
  <c r="D10" i="24"/>
  <c r="D164" i="24" s="1"/>
  <c r="C10" i="24"/>
  <c r="C164" i="24" s="1"/>
  <c r="B10" i="24"/>
  <c r="B164" i="24" s="1"/>
  <c r="AH9" i="24"/>
  <c r="AG9" i="24"/>
  <c r="AF9" i="24"/>
  <c r="AH8" i="24"/>
  <c r="AG8" i="24"/>
  <c r="AF8" i="24"/>
  <c r="AH7" i="24"/>
  <c r="AG7" i="24"/>
  <c r="AF7" i="24"/>
  <c r="AH6" i="24"/>
  <c r="AG6" i="24"/>
  <c r="AF6" i="24"/>
  <c r="AH5" i="24"/>
  <c r="AG5" i="24"/>
  <c r="AF5" i="24"/>
  <c r="Z2" i="24"/>
  <c r="AI71" i="35"/>
  <c r="AJ71" i="35" s="1"/>
  <c r="AB76" i="35" s="1"/>
  <c r="Y65" i="35"/>
  <c r="X65" i="35"/>
  <c r="W65" i="35"/>
  <c r="V65" i="35"/>
  <c r="U65" i="35"/>
  <c r="T65" i="35"/>
  <c r="Q65" i="35"/>
  <c r="O65" i="35"/>
  <c r="J65" i="35"/>
  <c r="E65" i="35"/>
  <c r="Y64" i="35"/>
  <c r="X64" i="35"/>
  <c r="W64" i="35"/>
  <c r="V64" i="35"/>
  <c r="U64" i="35"/>
  <c r="T64" i="35"/>
  <c r="Q64" i="35"/>
  <c r="O64" i="35"/>
  <c r="J64" i="35"/>
  <c r="E64" i="35"/>
  <c r="AK62" i="35"/>
  <c r="Z61" i="35"/>
  <c r="AI60" i="35"/>
  <c r="AH60" i="35"/>
  <c r="AG60" i="35"/>
  <c r="AA60" i="35"/>
  <c r="Z60" i="35"/>
  <c r="AI59" i="35"/>
  <c r="AH59" i="35"/>
  <c r="AG59" i="35"/>
  <c r="AA59" i="35"/>
  <c r="Z59" i="35"/>
  <c r="AI58" i="35"/>
  <c r="AH58" i="35"/>
  <c r="AG58" i="35"/>
  <c r="AA58" i="35"/>
  <c r="Z58" i="35"/>
  <c r="AI57" i="35"/>
  <c r="AH57" i="35"/>
  <c r="AG57" i="35"/>
  <c r="AA57" i="35"/>
  <c r="Z57" i="35"/>
  <c r="AI56" i="35"/>
  <c r="AH56" i="35"/>
  <c r="AG56" i="35"/>
  <c r="AA56" i="35"/>
  <c r="Z56" i="35"/>
  <c r="Y55" i="35"/>
  <c r="X55" i="35"/>
  <c r="W55" i="35"/>
  <c r="V55" i="35"/>
  <c r="U55" i="35"/>
  <c r="T55" i="35"/>
  <c r="S55" i="35"/>
  <c r="R55" i="35"/>
  <c r="Q55" i="35"/>
  <c r="AA54" i="35"/>
  <c r="Z54" i="35"/>
  <c r="AA53" i="35"/>
  <c r="Z53" i="35"/>
  <c r="AA52" i="35"/>
  <c r="Z52" i="35"/>
  <c r="AI51" i="35"/>
  <c r="AH51" i="35"/>
  <c r="AG51" i="35"/>
  <c r="AA51" i="35"/>
  <c r="Z51" i="35"/>
  <c r="AI50" i="35"/>
  <c r="AH50" i="35"/>
  <c r="AG50" i="35"/>
  <c r="AA50" i="35"/>
  <c r="Z50" i="35"/>
  <c r="AI49" i="35"/>
  <c r="AH49" i="35"/>
  <c r="AG49" i="35"/>
  <c r="AA49" i="35"/>
  <c r="Z49" i="35"/>
  <c r="AI48" i="35"/>
  <c r="AH48" i="35"/>
  <c r="AG48" i="35"/>
  <c r="AA48" i="35"/>
  <c r="Z48" i="35"/>
  <c r="AI47" i="35"/>
  <c r="AH47" i="35"/>
  <c r="AG47" i="35"/>
  <c r="AA47" i="35"/>
  <c r="Z47" i="35"/>
  <c r="Y46" i="35"/>
  <c r="Y62" i="35" s="1"/>
  <c r="X46" i="35"/>
  <c r="X62" i="35" s="1"/>
  <c r="W46" i="35"/>
  <c r="W62" i="35" s="1"/>
  <c r="V46" i="35"/>
  <c r="V62" i="35" s="1"/>
  <c r="U46" i="35"/>
  <c r="U62" i="35" s="1"/>
  <c r="T46" i="35"/>
  <c r="T62" i="35" s="1"/>
  <c r="AG64" i="35" s="1"/>
  <c r="S46" i="35"/>
  <c r="S62" i="35" s="1"/>
  <c r="R46" i="35"/>
  <c r="R62" i="35" s="1"/>
  <c r="Q46" i="35"/>
  <c r="Q62" i="35" s="1"/>
  <c r="AA33" i="35"/>
  <c r="Z33" i="35"/>
  <c r="Y33" i="35"/>
  <c r="X33" i="35"/>
  <c r="W33" i="35"/>
  <c r="V33" i="35"/>
  <c r="U33" i="35"/>
  <c r="T33" i="35"/>
  <c r="S33" i="35"/>
  <c r="R33" i="35"/>
  <c r="Q33" i="35"/>
  <c r="P33" i="35"/>
  <c r="O33" i="35"/>
  <c r="N33" i="35"/>
  <c r="M33" i="35"/>
  <c r="L33" i="35"/>
  <c r="K33" i="35"/>
  <c r="J33" i="35"/>
  <c r="I33" i="35"/>
  <c r="H33" i="35"/>
  <c r="G33" i="35"/>
  <c r="F33" i="35"/>
  <c r="E33" i="35"/>
  <c r="D33" i="35"/>
  <c r="C33" i="35"/>
  <c r="B33"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A13" i="35"/>
  <c r="AB123" i="6" s="1"/>
  <c r="Z13" i="35"/>
  <c r="Y13" i="35"/>
  <c r="Z123" i="6" s="1"/>
  <c r="X13" i="35"/>
  <c r="Y123" i="6" s="1"/>
  <c r="W13" i="35"/>
  <c r="X123" i="6" s="1"/>
  <c r="V13" i="35"/>
  <c r="W123" i="6" s="1"/>
  <c r="U13" i="35"/>
  <c r="T13" i="35"/>
  <c r="S13" i="35"/>
  <c r="R13" i="35"/>
  <c r="AG15" i="35" s="1"/>
  <c r="Q13" i="35"/>
  <c r="AF17" i="35" s="1"/>
  <c r="P13" i="35"/>
  <c r="O13" i="35"/>
  <c r="O68" i="35" s="1"/>
  <c r="O72" i="35" s="1"/>
  <c r="N13" i="35"/>
  <c r="O123" i="6" s="1"/>
  <c r="M13" i="35"/>
  <c r="L13" i="35"/>
  <c r="L68" i="35" s="1"/>
  <c r="L72" i="35" s="1"/>
  <c r="K13" i="35"/>
  <c r="J13" i="35"/>
  <c r="J68" i="35" s="1"/>
  <c r="J72" i="35" s="1"/>
  <c r="I13" i="35"/>
  <c r="H13" i="35"/>
  <c r="G13" i="35"/>
  <c r="F13" i="35"/>
  <c r="E13" i="35"/>
  <c r="E68" i="35" s="1"/>
  <c r="E72" i="35" s="1"/>
  <c r="D13" i="35"/>
  <c r="C13" i="35"/>
  <c r="B13" i="35"/>
  <c r="AA6" i="35"/>
  <c r="AB122" i="6" s="1"/>
  <c r="Z6" i="35"/>
  <c r="AA122" i="6" s="1"/>
  <c r="Y6" i="35"/>
  <c r="Z122" i="6" s="1"/>
  <c r="X6" i="35"/>
  <c r="Y122" i="6" s="1"/>
  <c r="W6" i="35"/>
  <c r="V6" i="35"/>
  <c r="U6" i="35"/>
  <c r="V122" i="6" s="1"/>
  <c r="T6" i="35"/>
  <c r="AI7" i="35" s="1"/>
  <c r="S6" i="35"/>
  <c r="AH7" i="35" s="1"/>
  <c r="R6" i="35"/>
  <c r="Q6" i="35"/>
  <c r="P6" i="35"/>
  <c r="Q122" i="6" s="1"/>
  <c r="O6" i="35"/>
  <c r="AH46" i="35" s="1"/>
  <c r="N6" i="35"/>
  <c r="M6" i="35"/>
  <c r="L6" i="35"/>
  <c r="L67" i="35" s="1"/>
  <c r="L71" i="35" s="1"/>
  <c r="K6" i="35"/>
  <c r="K67" i="35" s="1"/>
  <c r="K71" i="35" s="1"/>
  <c r="J6" i="35"/>
  <c r="K83" i="6" s="1"/>
  <c r="B10" i="27" s="1"/>
  <c r="I6" i="35"/>
  <c r="H6" i="35"/>
  <c r="G6" i="35"/>
  <c r="F6" i="35"/>
  <c r="E6" i="35"/>
  <c r="E67" i="35" s="1"/>
  <c r="E71" i="35" s="1"/>
  <c r="D6" i="35"/>
  <c r="C6" i="35"/>
  <c r="B6" i="35"/>
  <c r="N1051" i="9"/>
  <c r="N989" i="9" s="1"/>
  <c r="K1051" i="9"/>
  <c r="N1050" i="9"/>
  <c r="K1050" i="9"/>
  <c r="N1049" i="9"/>
  <c r="K1049" i="9"/>
  <c r="K987" i="9" s="1"/>
  <c r="P1048" i="9"/>
  <c r="P1047" i="9"/>
  <c r="M1046" i="9"/>
  <c r="L1046" i="9"/>
  <c r="J1046" i="9"/>
  <c r="P1044" i="9"/>
  <c r="K1043" i="9"/>
  <c r="P1043" i="9" s="1"/>
  <c r="P1042" i="9"/>
  <c r="P1041" i="9"/>
  <c r="N1040" i="9"/>
  <c r="M1040" i="9"/>
  <c r="M1053" i="9" s="1"/>
  <c r="L1040" i="9"/>
  <c r="L1053" i="9" s="1"/>
  <c r="J1040" i="9"/>
  <c r="Z1028" i="9"/>
  <c r="Z1027" i="9"/>
  <c r="Z1026" i="9"/>
  <c r="Z1025" i="9"/>
  <c r="Z1024" i="9"/>
  <c r="Z1023" i="9"/>
  <c r="Z1022" i="9"/>
  <c r="Z1021" i="9"/>
  <c r="Z1020" i="9"/>
  <c r="Z1019" i="9"/>
  <c r="Z1018" i="9"/>
  <c r="Z1016" i="9"/>
  <c r="Z1015" i="9"/>
  <c r="Z1014" i="9"/>
  <c r="Z1013" i="9"/>
  <c r="Z1012" i="9"/>
  <c r="N1012" i="9"/>
  <c r="M1012" i="9"/>
  <c r="L1012" i="9"/>
  <c r="K1012" i="9"/>
  <c r="J1012" i="9"/>
  <c r="Z1011" i="9"/>
  <c r="Z1010" i="9"/>
  <c r="K1010" i="9"/>
  <c r="Z1009" i="9"/>
  <c r="Z1008" i="9"/>
  <c r="Z1007" i="9"/>
  <c r="Z1006" i="9"/>
  <c r="J1006" i="9"/>
  <c r="Z1005" i="9"/>
  <c r="L1005" i="9"/>
  <c r="Z1004" i="9"/>
  <c r="J1004" i="9"/>
  <c r="Z1003" i="9"/>
  <c r="L1003" i="9"/>
  <c r="J1003" i="9"/>
  <c r="Z1002" i="9"/>
  <c r="J1002" i="9"/>
  <c r="Z1001" i="9"/>
  <c r="Z1000" i="9"/>
  <c r="N1000" i="9"/>
  <c r="M1000" i="9"/>
  <c r="L1000" i="9"/>
  <c r="K1000" i="9"/>
  <c r="J1000" i="9"/>
  <c r="N999" i="9"/>
  <c r="M999" i="9"/>
  <c r="L999" i="9"/>
  <c r="J999" i="9"/>
  <c r="Z998" i="9"/>
  <c r="Z997" i="9"/>
  <c r="J997" i="9"/>
  <c r="Z996" i="9"/>
  <c r="L996" i="9"/>
  <c r="J996" i="9"/>
  <c r="Z995" i="9"/>
  <c r="Z994" i="9"/>
  <c r="Z993" i="9"/>
  <c r="Z992" i="9"/>
  <c r="P992" i="9"/>
  <c r="Z991" i="9"/>
  <c r="Z990" i="9"/>
  <c r="V989" i="9"/>
  <c r="U989" i="9"/>
  <c r="T989" i="9"/>
  <c r="S989" i="9"/>
  <c r="M989" i="9"/>
  <c r="L989" i="9"/>
  <c r="Z988" i="9"/>
  <c r="V988" i="9"/>
  <c r="U988" i="9"/>
  <c r="S988" i="9"/>
  <c r="R988" i="9"/>
  <c r="N988" i="9"/>
  <c r="M988" i="9"/>
  <c r="J988" i="9"/>
  <c r="J984" i="9" s="1"/>
  <c r="Z987" i="9"/>
  <c r="V987" i="9"/>
  <c r="U987" i="9"/>
  <c r="T987" i="9"/>
  <c r="S987" i="9"/>
  <c r="N987" i="9"/>
  <c r="M987" i="9"/>
  <c r="L987" i="9"/>
  <c r="Z986" i="9"/>
  <c r="V986" i="9"/>
  <c r="U986" i="9"/>
  <c r="S986" i="9"/>
  <c r="N986" i="9"/>
  <c r="M986" i="9"/>
  <c r="K986" i="9"/>
  <c r="Z985" i="9"/>
  <c r="V985" i="9"/>
  <c r="U985" i="9"/>
  <c r="T985" i="9"/>
  <c r="S985" i="9"/>
  <c r="N985" i="9"/>
  <c r="M985" i="9"/>
  <c r="L985" i="9"/>
  <c r="K985" i="9"/>
  <c r="S982" i="9"/>
  <c r="K982" i="9"/>
  <c r="Z981" i="9"/>
  <c r="V981" i="9"/>
  <c r="U981" i="9"/>
  <c r="T981" i="9"/>
  <c r="S981" i="9"/>
  <c r="R981" i="9"/>
  <c r="N981" i="9"/>
  <c r="M981" i="9"/>
  <c r="L981" i="9"/>
  <c r="J981" i="9"/>
  <c r="Z980" i="9"/>
  <c r="V980" i="9"/>
  <c r="U980" i="9"/>
  <c r="T980" i="9"/>
  <c r="S980" i="9"/>
  <c r="N980" i="9"/>
  <c r="M980" i="9"/>
  <c r="L980" i="9"/>
  <c r="K980" i="9"/>
  <c r="Z979" i="9"/>
  <c r="V979" i="9"/>
  <c r="U979" i="9"/>
  <c r="S979" i="9"/>
  <c r="N979" i="9"/>
  <c r="M979" i="9"/>
  <c r="K979" i="9"/>
  <c r="Z978" i="9"/>
  <c r="O953" i="9"/>
  <c r="N953" i="9"/>
  <c r="M953" i="9"/>
  <c r="L953" i="9"/>
  <c r="K953" i="9"/>
  <c r="J953" i="9"/>
  <c r="O952" i="9"/>
  <c r="N952" i="9"/>
  <c r="M952" i="9"/>
  <c r="L952" i="9"/>
  <c r="K952" i="9"/>
  <c r="J952" i="9"/>
  <c r="O951" i="9"/>
  <c r="N951" i="9"/>
  <c r="M951" i="9"/>
  <c r="L951" i="9"/>
  <c r="K951" i="9"/>
  <c r="J951" i="9"/>
  <c r="O950" i="9"/>
  <c r="N950" i="9"/>
  <c r="M950" i="9"/>
  <c r="L950" i="9"/>
  <c r="K950" i="9"/>
  <c r="J950" i="9"/>
  <c r="O949" i="9"/>
  <c r="N949" i="9"/>
  <c r="M949" i="9"/>
  <c r="L949" i="9"/>
  <c r="K949" i="9"/>
  <c r="J949" i="9"/>
  <c r="P946" i="9"/>
  <c r="H121" i="31" s="1"/>
  <c r="Z945" i="9"/>
  <c r="P945" i="9"/>
  <c r="Z944" i="9"/>
  <c r="P944" i="9"/>
  <c r="H119" i="31" s="1"/>
  <c r="Z943" i="9"/>
  <c r="P943" i="9"/>
  <c r="Z942" i="9"/>
  <c r="P942" i="9"/>
  <c r="H117" i="31" s="1"/>
  <c r="Z941" i="9"/>
  <c r="O941" i="9"/>
  <c r="N941" i="9"/>
  <c r="F116" i="31" s="1"/>
  <c r="M941" i="9"/>
  <c r="E116" i="31" s="1"/>
  <c r="L941" i="9"/>
  <c r="D116" i="31" s="1"/>
  <c r="K941" i="9"/>
  <c r="C116" i="31" s="1"/>
  <c r="J941" i="9"/>
  <c r="Z940" i="9"/>
  <c r="P940" i="9"/>
  <c r="H121" i="32" s="1"/>
  <c r="Z939" i="9"/>
  <c r="P939" i="9"/>
  <c r="H120" i="32" s="1"/>
  <c r="Z938" i="9"/>
  <c r="P938" i="9"/>
  <c r="H119" i="32" s="1"/>
  <c r="Z937" i="9"/>
  <c r="P937" i="9"/>
  <c r="Z936" i="9"/>
  <c r="P936" i="9"/>
  <c r="H117" i="32" s="1"/>
  <c r="Z935" i="9"/>
  <c r="O935" i="9"/>
  <c r="G116" i="32" s="1"/>
  <c r="N935" i="9"/>
  <c r="F116" i="32" s="1"/>
  <c r="M935" i="9"/>
  <c r="E116" i="32" s="1"/>
  <c r="L935" i="9"/>
  <c r="K935" i="9"/>
  <c r="K956" i="9" s="1"/>
  <c r="C143" i="33" s="1"/>
  <c r="J935" i="9"/>
  <c r="J956" i="9" s="1"/>
  <c r="Z933" i="9"/>
  <c r="Z932" i="9"/>
  <c r="Z931" i="9"/>
  <c r="Z930" i="9"/>
  <c r="Z929" i="9"/>
  <c r="Z928" i="9"/>
  <c r="Z927" i="9"/>
  <c r="K927" i="9"/>
  <c r="Z926" i="9"/>
  <c r="Z925" i="9"/>
  <c r="Z924" i="9"/>
  <c r="AP923" i="9"/>
  <c r="AO923" i="9"/>
  <c r="N203" i="34" s="1"/>
  <c r="AN923" i="9"/>
  <c r="M203" i="34" s="1"/>
  <c r="AM923" i="9"/>
  <c r="L203" i="34" s="1"/>
  <c r="AL923" i="9"/>
  <c r="AK923" i="9"/>
  <c r="Z923" i="9"/>
  <c r="O923" i="9"/>
  <c r="G203" i="28" s="1"/>
  <c r="N923" i="9"/>
  <c r="M923" i="9"/>
  <c r="AN935" i="9" s="1"/>
  <c r="L923" i="9"/>
  <c r="D203" i="28" s="1"/>
  <c r="K923" i="9"/>
  <c r="AL906" i="9" s="1"/>
  <c r="C203" i="34" s="1"/>
  <c r="J923" i="9"/>
  <c r="AK935" i="9" s="1"/>
  <c r="AP922" i="9"/>
  <c r="AO922" i="9"/>
  <c r="AN922" i="9"/>
  <c r="M202" i="34" s="1"/>
  <c r="AM922" i="9"/>
  <c r="AL922" i="9"/>
  <c r="K202" i="34" s="1"/>
  <c r="AK922" i="9"/>
  <c r="J202" i="34" s="1"/>
  <c r="Z922" i="9"/>
  <c r="O922" i="9"/>
  <c r="G202" i="28" s="1"/>
  <c r="N922" i="9"/>
  <c r="AO905" i="9" s="1"/>
  <c r="F202" i="34" s="1"/>
  <c r="M922" i="9"/>
  <c r="AN905" i="9" s="1"/>
  <c r="L922" i="9"/>
  <c r="D202" i="28" s="1"/>
  <c r="K922" i="9"/>
  <c r="AL934" i="9" s="1"/>
  <c r="J922" i="9"/>
  <c r="AK934" i="9" s="1"/>
  <c r="AP921" i="9"/>
  <c r="O201" i="34" s="1"/>
  <c r="AO921" i="9"/>
  <c r="N201" i="34" s="1"/>
  <c r="AN921" i="9"/>
  <c r="AM921" i="9"/>
  <c r="AL921" i="9"/>
  <c r="K201" i="34" s="1"/>
  <c r="AK921" i="9"/>
  <c r="J201" i="34" s="1"/>
  <c r="Z921" i="9"/>
  <c r="O921" i="9"/>
  <c r="G201" i="28" s="1"/>
  <c r="N921" i="9"/>
  <c r="F201" i="28" s="1"/>
  <c r="M921" i="9"/>
  <c r="AN904" i="9" s="1"/>
  <c r="E201" i="34" s="1"/>
  <c r="L921" i="9"/>
  <c r="D201" i="28" s="1"/>
  <c r="K921" i="9"/>
  <c r="J921" i="9"/>
  <c r="AK933" i="9" s="1"/>
  <c r="AP920" i="9"/>
  <c r="O200" i="34" s="1"/>
  <c r="AO920" i="9"/>
  <c r="AN920" i="9"/>
  <c r="M200" i="34" s="1"/>
  <c r="AM920" i="9"/>
  <c r="L200" i="34" s="1"/>
  <c r="AL920" i="9"/>
  <c r="K200" i="34" s="1"/>
  <c r="AK920" i="9"/>
  <c r="J200" i="34" s="1"/>
  <c r="Z920" i="9"/>
  <c r="O920" i="9"/>
  <c r="N920" i="9"/>
  <c r="F200" i="28" s="1"/>
  <c r="M920" i="9"/>
  <c r="L920" i="9"/>
  <c r="D200" i="28" s="1"/>
  <c r="K920" i="9"/>
  <c r="C200" i="28" s="1"/>
  <c r="J920" i="9"/>
  <c r="AK903" i="9" s="1"/>
  <c r="B200" i="34" s="1"/>
  <c r="AP919" i="9"/>
  <c r="AO919" i="9"/>
  <c r="AN919" i="9"/>
  <c r="M199" i="34" s="1"/>
  <c r="AM919" i="9"/>
  <c r="L199" i="34" s="1"/>
  <c r="AL919" i="9"/>
  <c r="AK919" i="9"/>
  <c r="J199" i="34" s="1"/>
  <c r="Z919" i="9"/>
  <c r="O919" i="9"/>
  <c r="AP931" i="9" s="1"/>
  <c r="N919" i="9"/>
  <c r="AO931" i="9" s="1"/>
  <c r="M919" i="9"/>
  <c r="AN931" i="9" s="1"/>
  <c r="L919" i="9"/>
  <c r="AM902" i="9" s="1"/>
  <c r="K919" i="9"/>
  <c r="AL902" i="9" s="1"/>
  <c r="C199" i="34" s="1"/>
  <c r="J919" i="9"/>
  <c r="AK902" i="9" s="1"/>
  <c r="B199" i="34" s="1"/>
  <c r="Z918" i="9"/>
  <c r="Z917" i="9"/>
  <c r="O917" i="9"/>
  <c r="G197" i="28" s="1"/>
  <c r="N917" i="9"/>
  <c r="AO900" i="9" s="1"/>
  <c r="F197" i="34" s="1"/>
  <c r="M917" i="9"/>
  <c r="AN900" i="9" s="1"/>
  <c r="L917" i="9"/>
  <c r="AM900" i="9" s="1"/>
  <c r="K917" i="9"/>
  <c r="C197" i="28" s="1"/>
  <c r="J917" i="9"/>
  <c r="AK900" i="9" s="1"/>
  <c r="O916" i="9"/>
  <c r="AP899" i="9" s="1"/>
  <c r="G196" i="34" s="1"/>
  <c r="N916" i="9"/>
  <c r="AO899" i="9" s="1"/>
  <c r="F196" i="34" s="1"/>
  <c r="M916" i="9"/>
  <c r="AN899" i="9" s="1"/>
  <c r="E196" i="34" s="1"/>
  <c r="L916" i="9"/>
  <c r="AM899" i="9" s="1"/>
  <c r="D196" i="34" s="1"/>
  <c r="K916" i="9"/>
  <c r="AL899" i="9" s="1"/>
  <c r="C196" i="34" s="1"/>
  <c r="J916" i="9"/>
  <c r="Z915" i="9"/>
  <c r="O915" i="9"/>
  <c r="AP898" i="9" s="1"/>
  <c r="G195" i="34" s="1"/>
  <c r="N915" i="9"/>
  <c r="AO898" i="9" s="1"/>
  <c r="F195" i="34" s="1"/>
  <c r="M915" i="9"/>
  <c r="E195" i="28" s="1"/>
  <c r="L915" i="9"/>
  <c r="AM898" i="9" s="1"/>
  <c r="D195" i="34" s="1"/>
  <c r="K915" i="9"/>
  <c r="AL898" i="9" s="1"/>
  <c r="C195" i="34" s="1"/>
  <c r="J915" i="9"/>
  <c r="AK898" i="9" s="1"/>
  <c r="B195" i="34" s="1"/>
  <c r="Z914" i="9"/>
  <c r="O914" i="9"/>
  <c r="AP897" i="9" s="1"/>
  <c r="G194" i="34" s="1"/>
  <c r="N914" i="9"/>
  <c r="AO897" i="9" s="1"/>
  <c r="F194" i="34" s="1"/>
  <c r="M914" i="9"/>
  <c r="AN897" i="9" s="1"/>
  <c r="E194" i="34" s="1"/>
  <c r="L914" i="9"/>
  <c r="AM897" i="9" s="1"/>
  <c r="D194" i="34" s="1"/>
  <c r="K914" i="9"/>
  <c r="AL897" i="9" s="1"/>
  <c r="C194" i="34" s="1"/>
  <c r="J914" i="9"/>
  <c r="AK897" i="9" s="1"/>
  <c r="B194" i="34" s="1"/>
  <c r="Z913" i="9"/>
  <c r="O913" i="9"/>
  <c r="AP896" i="9" s="1"/>
  <c r="G193" i="34" s="1"/>
  <c r="N913" i="9"/>
  <c r="AO896" i="9" s="1"/>
  <c r="F193" i="34" s="1"/>
  <c r="M913" i="9"/>
  <c r="L913" i="9"/>
  <c r="D193" i="28" s="1"/>
  <c r="K913" i="9"/>
  <c r="AL896" i="9" s="1"/>
  <c r="C193" i="34" s="1"/>
  <c r="J913" i="9"/>
  <c r="AK896" i="9" s="1"/>
  <c r="B193" i="34" s="1"/>
  <c r="Z912" i="9"/>
  <c r="Z911" i="9"/>
  <c r="Z910" i="9"/>
  <c r="Z909" i="9"/>
  <c r="Z908" i="9"/>
  <c r="Z907" i="9"/>
  <c r="P906" i="9"/>
  <c r="AP905" i="9"/>
  <c r="Z905" i="9"/>
  <c r="P905" i="9"/>
  <c r="AK904" i="9"/>
  <c r="B201" i="34" s="1"/>
  <c r="Z904" i="9"/>
  <c r="P904" i="9"/>
  <c r="Z903" i="9"/>
  <c r="P903" i="9"/>
  <c r="Z902" i="9"/>
  <c r="P902" i="9"/>
  <c r="O901" i="9"/>
  <c r="N901" i="9"/>
  <c r="M901" i="9"/>
  <c r="L901" i="9"/>
  <c r="K901" i="9"/>
  <c r="J901" i="9"/>
  <c r="P900" i="9"/>
  <c r="AK899" i="9"/>
  <c r="B196" i="34" s="1"/>
  <c r="P899" i="9"/>
  <c r="Z898" i="9"/>
  <c r="P898" i="9"/>
  <c r="Z897" i="9"/>
  <c r="P897" i="9"/>
  <c r="Z896" i="9"/>
  <c r="P896" i="9"/>
  <c r="Z895" i="9"/>
  <c r="O895" i="9"/>
  <c r="N895" i="9"/>
  <c r="M895" i="9"/>
  <c r="L895" i="9"/>
  <c r="K895" i="9"/>
  <c r="J895" i="9"/>
  <c r="V891" i="9"/>
  <c r="V892" i="9" s="1"/>
  <c r="O870" i="9"/>
  <c r="N870" i="9"/>
  <c r="M870" i="9"/>
  <c r="L870" i="9"/>
  <c r="K870" i="9"/>
  <c r="J870" i="9"/>
  <c r="O869" i="9"/>
  <c r="N869" i="9"/>
  <c r="M869" i="9"/>
  <c r="L869" i="9"/>
  <c r="K869" i="9"/>
  <c r="J869" i="9"/>
  <c r="O868" i="9"/>
  <c r="N868" i="9"/>
  <c r="M868" i="9"/>
  <c r="L868" i="9"/>
  <c r="K868" i="9"/>
  <c r="J868" i="9"/>
  <c r="O867" i="9"/>
  <c r="N867" i="9"/>
  <c r="M867" i="9"/>
  <c r="L867" i="9"/>
  <c r="K867" i="9"/>
  <c r="J867" i="9"/>
  <c r="O866" i="9"/>
  <c r="N866" i="9"/>
  <c r="M866" i="9"/>
  <c r="L866" i="9"/>
  <c r="K866" i="9"/>
  <c r="J866" i="9"/>
  <c r="P863" i="9"/>
  <c r="H112" i="31" s="1"/>
  <c r="Z862" i="9"/>
  <c r="P862" i="9"/>
  <c r="H111" i="31" s="1"/>
  <c r="Z861" i="9"/>
  <c r="P861" i="9"/>
  <c r="Z860" i="9"/>
  <c r="P860" i="9"/>
  <c r="H109" i="31" s="1"/>
  <c r="Z859" i="9"/>
  <c r="P859" i="9"/>
  <c r="H108" i="31" s="1"/>
  <c r="Z858" i="9"/>
  <c r="O858" i="9"/>
  <c r="G107" i="31" s="1"/>
  <c r="N858" i="9"/>
  <c r="F107" i="31" s="1"/>
  <c r="M858" i="9"/>
  <c r="L858" i="9"/>
  <c r="D107" i="31" s="1"/>
  <c r="K858" i="9"/>
  <c r="C107" i="31" s="1"/>
  <c r="J858" i="9"/>
  <c r="Z857" i="9"/>
  <c r="P857" i="9"/>
  <c r="Z856" i="9"/>
  <c r="P856" i="9"/>
  <c r="H111" i="32" s="1"/>
  <c r="Z855" i="9"/>
  <c r="P855" i="9"/>
  <c r="H110" i="32" s="1"/>
  <c r="Z854" i="9"/>
  <c r="P854" i="9"/>
  <c r="Z853" i="9"/>
  <c r="P853" i="9"/>
  <c r="Z852" i="9"/>
  <c r="O852" i="9"/>
  <c r="O873" i="9" s="1"/>
  <c r="G132" i="33" s="1"/>
  <c r="N852" i="9"/>
  <c r="M852" i="9"/>
  <c r="E107" i="32" s="1"/>
  <c r="L852" i="9"/>
  <c r="L873" i="9" s="1"/>
  <c r="K852" i="9"/>
  <c r="J852" i="9"/>
  <c r="B107" i="32" s="1"/>
  <c r="Z849" i="9"/>
  <c r="Z848" i="9"/>
  <c r="Z847" i="9"/>
  <c r="Z846" i="9"/>
  <c r="Z845" i="9"/>
  <c r="Z844" i="9"/>
  <c r="K844" i="9"/>
  <c r="Z843" i="9"/>
  <c r="Z842" i="9"/>
  <c r="Z841" i="9"/>
  <c r="AP840" i="9"/>
  <c r="AO840" i="9"/>
  <c r="N187" i="34" s="1"/>
  <c r="AN840" i="9"/>
  <c r="M187" i="34" s="1"/>
  <c r="AM840" i="9"/>
  <c r="AL840" i="9"/>
  <c r="K187" i="34" s="1"/>
  <c r="AK840" i="9"/>
  <c r="J187" i="34" s="1"/>
  <c r="Z840" i="9"/>
  <c r="O840" i="9"/>
  <c r="AP852" i="9" s="1"/>
  <c r="N840" i="9"/>
  <c r="AO823" i="9" s="1"/>
  <c r="M840" i="9"/>
  <c r="E187" i="28" s="1"/>
  <c r="L840" i="9"/>
  <c r="AM852" i="9" s="1"/>
  <c r="K840" i="9"/>
  <c r="AL852" i="9" s="1"/>
  <c r="J840" i="9"/>
  <c r="AK852" i="9" s="1"/>
  <c r="AP839" i="9"/>
  <c r="O186" i="34" s="1"/>
  <c r="AO839" i="9"/>
  <c r="AN839" i="9"/>
  <c r="M186" i="34" s="1"/>
  <c r="AM839" i="9"/>
  <c r="L186" i="34" s="1"/>
  <c r="AL839" i="9"/>
  <c r="K186" i="34" s="1"/>
  <c r="AK839" i="9"/>
  <c r="J186" i="34" s="1"/>
  <c r="Z839" i="9"/>
  <c r="O839" i="9"/>
  <c r="AP851" i="9" s="1"/>
  <c r="N839" i="9"/>
  <c r="F186" i="28" s="1"/>
  <c r="M839" i="9"/>
  <c r="AN851" i="9" s="1"/>
  <c r="L839" i="9"/>
  <c r="AM851" i="9" s="1"/>
  <c r="K839" i="9"/>
  <c r="J839" i="9"/>
  <c r="B186" i="28" s="1"/>
  <c r="AP838" i="9"/>
  <c r="O185" i="34" s="1"/>
  <c r="AO838" i="9"/>
  <c r="AN838" i="9"/>
  <c r="M185" i="34" s="1"/>
  <c r="AM838" i="9"/>
  <c r="L185" i="34" s="1"/>
  <c r="AL838" i="9"/>
  <c r="AK838" i="9"/>
  <c r="J185" i="34" s="1"/>
  <c r="Z838" i="9"/>
  <c r="O838" i="9"/>
  <c r="AP821" i="9" s="1"/>
  <c r="G185" i="34" s="1"/>
  <c r="N838" i="9"/>
  <c r="AO850" i="9" s="1"/>
  <c r="M838" i="9"/>
  <c r="L838" i="9"/>
  <c r="AM850" i="9" s="1"/>
  <c r="K838" i="9"/>
  <c r="AL850" i="9" s="1"/>
  <c r="J838" i="9"/>
  <c r="AK850" i="9" s="1"/>
  <c r="AP837" i="9"/>
  <c r="O184" i="34" s="1"/>
  <c r="AO837" i="9"/>
  <c r="AN837" i="9"/>
  <c r="AM837" i="9"/>
  <c r="L184" i="34" s="1"/>
  <c r="AL837" i="9"/>
  <c r="AK837" i="9"/>
  <c r="J184" i="34" s="1"/>
  <c r="Z837" i="9"/>
  <c r="O837" i="9"/>
  <c r="AP849" i="9" s="1"/>
  <c r="N837" i="9"/>
  <c r="AO849" i="9" s="1"/>
  <c r="M837" i="9"/>
  <c r="L837" i="9"/>
  <c r="D184" i="28" s="1"/>
  <c r="K837" i="9"/>
  <c r="AL820" i="9" s="1"/>
  <c r="C184" i="34" s="1"/>
  <c r="J837" i="9"/>
  <c r="AP836" i="9"/>
  <c r="O183" i="34" s="1"/>
  <c r="AO836" i="9"/>
  <c r="N183" i="34" s="1"/>
  <c r="AN836" i="9"/>
  <c r="AM836" i="9"/>
  <c r="L183" i="34" s="1"/>
  <c r="AL836" i="9"/>
  <c r="AK836" i="9"/>
  <c r="Z836" i="9"/>
  <c r="O836" i="9"/>
  <c r="AP819" i="9" s="1"/>
  <c r="N836" i="9"/>
  <c r="AO848" i="9" s="1"/>
  <c r="M836" i="9"/>
  <c r="L836" i="9"/>
  <c r="AM848" i="9" s="1"/>
  <c r="K836" i="9"/>
  <c r="C183" i="28" s="1"/>
  <c r="J836" i="9"/>
  <c r="Z835" i="9"/>
  <c r="Z834" i="9"/>
  <c r="O834" i="9"/>
  <c r="AP817" i="9" s="1"/>
  <c r="N834" i="9"/>
  <c r="AO817" i="9" s="1"/>
  <c r="F181" i="34" s="1"/>
  <c r="M834" i="9"/>
  <c r="AN817" i="9" s="1"/>
  <c r="E181" i="34" s="1"/>
  <c r="L834" i="9"/>
  <c r="AM817" i="9" s="1"/>
  <c r="D181" i="34" s="1"/>
  <c r="K834" i="9"/>
  <c r="AL817" i="9" s="1"/>
  <c r="C181" i="34" s="1"/>
  <c r="J834" i="9"/>
  <c r="AK817" i="9" s="1"/>
  <c r="B181" i="34" s="1"/>
  <c r="O833" i="9"/>
  <c r="AP816" i="9" s="1"/>
  <c r="G180" i="34" s="1"/>
  <c r="N833" i="9"/>
  <c r="AO816" i="9" s="1"/>
  <c r="F180" i="34" s="1"/>
  <c r="M833" i="9"/>
  <c r="AN816" i="9" s="1"/>
  <c r="L833" i="9"/>
  <c r="AM816" i="9" s="1"/>
  <c r="D180" i="34" s="1"/>
  <c r="K833" i="9"/>
  <c r="C180" i="28" s="1"/>
  <c r="J833" i="9"/>
  <c r="O832" i="9"/>
  <c r="AP815" i="9" s="1"/>
  <c r="G179" i="34" s="1"/>
  <c r="N832" i="9"/>
  <c r="AO815" i="9" s="1"/>
  <c r="F179" i="34" s="1"/>
  <c r="M832" i="9"/>
  <c r="E179" i="28" s="1"/>
  <c r="L832" i="9"/>
  <c r="AM815" i="9" s="1"/>
  <c r="D179" i="34" s="1"/>
  <c r="K832" i="9"/>
  <c r="J832" i="9"/>
  <c r="B179" i="28" s="1"/>
  <c r="O831" i="9"/>
  <c r="AP814" i="9" s="1"/>
  <c r="G178" i="34" s="1"/>
  <c r="N831" i="9"/>
  <c r="AO814" i="9" s="1"/>
  <c r="M831" i="9"/>
  <c r="E178" i="28" s="1"/>
  <c r="L831" i="9"/>
  <c r="K831" i="9"/>
  <c r="C178" i="28" s="1"/>
  <c r="J831" i="9"/>
  <c r="AK814" i="9" s="1"/>
  <c r="B178" i="34" s="1"/>
  <c r="Z830" i="9"/>
  <c r="O830" i="9"/>
  <c r="AP813" i="9" s="1"/>
  <c r="G177" i="34" s="1"/>
  <c r="N830" i="9"/>
  <c r="F177" i="28" s="1"/>
  <c r="M830" i="9"/>
  <c r="AN813" i="9" s="1"/>
  <c r="L830" i="9"/>
  <c r="AM813" i="9" s="1"/>
  <c r="D177" i="34" s="1"/>
  <c r="K830" i="9"/>
  <c r="C177" i="28" s="1"/>
  <c r="J830" i="9"/>
  <c r="AK813" i="9" s="1"/>
  <c r="B177" i="34" s="1"/>
  <c r="Z829" i="9"/>
  <c r="Z828" i="9"/>
  <c r="Z827" i="9"/>
  <c r="Z826" i="9"/>
  <c r="Z825" i="9"/>
  <c r="Z824" i="9"/>
  <c r="AL823" i="9"/>
  <c r="C187" i="34" s="1"/>
  <c r="P823" i="9"/>
  <c r="Z822" i="9"/>
  <c r="P822" i="9"/>
  <c r="Z821" i="9"/>
  <c r="P821" i="9"/>
  <c r="Z820" i="9"/>
  <c r="P820" i="9"/>
  <c r="Z819" i="9"/>
  <c r="P819" i="9"/>
  <c r="O818" i="9"/>
  <c r="N818" i="9"/>
  <c r="M818" i="9"/>
  <c r="L818" i="9"/>
  <c r="K818" i="9"/>
  <c r="J818" i="9"/>
  <c r="P817" i="9"/>
  <c r="P816" i="9"/>
  <c r="AL815" i="9"/>
  <c r="C179" i="34" s="1"/>
  <c r="Z815" i="9"/>
  <c r="P815" i="9"/>
  <c r="Z814" i="9"/>
  <c r="P814" i="9"/>
  <c r="Z813" i="9"/>
  <c r="P813" i="9"/>
  <c r="Z812" i="9"/>
  <c r="O812" i="9"/>
  <c r="N812" i="9"/>
  <c r="M812" i="9"/>
  <c r="L812" i="9"/>
  <c r="K812" i="9"/>
  <c r="J812" i="9"/>
  <c r="O786" i="9"/>
  <c r="N786" i="9"/>
  <c r="M786" i="9"/>
  <c r="L786" i="9"/>
  <c r="K786" i="9"/>
  <c r="J786" i="9"/>
  <c r="O785" i="9"/>
  <c r="N785" i="9"/>
  <c r="M785" i="9"/>
  <c r="L785" i="9"/>
  <c r="K785" i="9"/>
  <c r="J785" i="9"/>
  <c r="O784" i="9"/>
  <c r="N784" i="9"/>
  <c r="M784" i="9"/>
  <c r="L784" i="9"/>
  <c r="K784" i="9"/>
  <c r="J784" i="9"/>
  <c r="O783" i="9"/>
  <c r="N783" i="9"/>
  <c r="M783" i="9"/>
  <c r="L783" i="9"/>
  <c r="K783" i="9"/>
  <c r="J783" i="9"/>
  <c r="O782" i="9"/>
  <c r="N782" i="9"/>
  <c r="M782" i="9"/>
  <c r="L782" i="9"/>
  <c r="K782" i="9"/>
  <c r="J782" i="9"/>
  <c r="P779" i="9"/>
  <c r="P778" i="9"/>
  <c r="H102" i="31" s="1"/>
  <c r="P777" i="9"/>
  <c r="H101" i="31" s="1"/>
  <c r="P776" i="9"/>
  <c r="P775" i="9"/>
  <c r="H99" i="31" s="1"/>
  <c r="O774" i="9"/>
  <c r="N774" i="9"/>
  <c r="M774" i="9"/>
  <c r="L774" i="9"/>
  <c r="K774" i="9"/>
  <c r="C98" i="31" s="1"/>
  <c r="J774" i="9"/>
  <c r="B98" i="31" s="1"/>
  <c r="Z773" i="9"/>
  <c r="P773" i="9"/>
  <c r="H103" i="32" s="1"/>
  <c r="P772" i="9"/>
  <c r="Z771" i="9"/>
  <c r="P771" i="9"/>
  <c r="H101" i="32" s="1"/>
  <c r="Z770" i="9"/>
  <c r="P770" i="9"/>
  <c r="H100" i="32" s="1"/>
  <c r="Z769" i="9"/>
  <c r="P769" i="9"/>
  <c r="Z768" i="9"/>
  <c r="O768" i="9"/>
  <c r="O789" i="9" s="1"/>
  <c r="G121" i="33" s="1"/>
  <c r="N768" i="9"/>
  <c r="F98" i="32" s="1"/>
  <c r="M768" i="9"/>
  <c r="M789" i="9" s="1"/>
  <c r="E121" i="33" s="1"/>
  <c r="L768" i="9"/>
  <c r="L789" i="9" s="1"/>
  <c r="D121" i="33" s="1"/>
  <c r="K768" i="9"/>
  <c r="K789" i="9" s="1"/>
  <c r="J768" i="9"/>
  <c r="B98" i="32" s="1"/>
  <c r="Z767" i="9"/>
  <c r="Z765" i="9"/>
  <c r="Z764" i="9"/>
  <c r="Z762" i="9"/>
  <c r="Z761" i="9"/>
  <c r="Z760" i="9"/>
  <c r="K760" i="9"/>
  <c r="Z759" i="9"/>
  <c r="Z758" i="9"/>
  <c r="Z757" i="9"/>
  <c r="AP756" i="9"/>
  <c r="O171" i="34" s="1"/>
  <c r="AO756" i="9"/>
  <c r="N171" i="34" s="1"/>
  <c r="AN756" i="9"/>
  <c r="AM756" i="9"/>
  <c r="AL756" i="9"/>
  <c r="K171" i="34" s="1"/>
  <c r="AK756" i="9"/>
  <c r="J171" i="34" s="1"/>
  <c r="Z756" i="9"/>
  <c r="O756" i="9"/>
  <c r="N756" i="9"/>
  <c r="AO768" i="9" s="1"/>
  <c r="M756" i="9"/>
  <c r="AN739" i="9" s="1"/>
  <c r="E171" i="34" s="1"/>
  <c r="L756" i="9"/>
  <c r="K756" i="9"/>
  <c r="AL768" i="9" s="1"/>
  <c r="J756" i="9"/>
  <c r="B171" i="28" s="1"/>
  <c r="AP755" i="9"/>
  <c r="AO755" i="9"/>
  <c r="N170" i="34" s="1"/>
  <c r="AN755" i="9"/>
  <c r="M170" i="34" s="1"/>
  <c r="AM755" i="9"/>
  <c r="AL755" i="9"/>
  <c r="K170" i="34" s="1"/>
  <c r="AK755" i="9"/>
  <c r="Z755" i="9"/>
  <c r="O755" i="9"/>
  <c r="N755" i="9"/>
  <c r="F170" i="28" s="1"/>
  <c r="M755" i="9"/>
  <c r="E170" i="28" s="1"/>
  <c r="L755" i="9"/>
  <c r="AM767" i="9" s="1"/>
  <c r="K755" i="9"/>
  <c r="AL738" i="9" s="1"/>
  <c r="J755" i="9"/>
  <c r="B170" i="28" s="1"/>
  <c r="AP754" i="9"/>
  <c r="AO754" i="9"/>
  <c r="N169" i="34" s="1"/>
  <c r="AN754" i="9"/>
  <c r="M169" i="34" s="1"/>
  <c r="AM754" i="9"/>
  <c r="L169" i="34" s="1"/>
  <c r="AL754" i="9"/>
  <c r="K169" i="34" s="1"/>
  <c r="AK754" i="9"/>
  <c r="J169" i="34" s="1"/>
  <c r="Z754" i="9"/>
  <c r="O754" i="9"/>
  <c r="G169" i="28" s="1"/>
  <c r="N754" i="9"/>
  <c r="M754" i="9"/>
  <c r="AN737" i="9" s="1"/>
  <c r="E169" i="34" s="1"/>
  <c r="L754" i="9"/>
  <c r="K754" i="9"/>
  <c r="AL737" i="9" s="1"/>
  <c r="C169" i="34" s="1"/>
  <c r="J754" i="9"/>
  <c r="AK737" i="9" s="1"/>
  <c r="B169" i="34" s="1"/>
  <c r="AP753" i="9"/>
  <c r="O168" i="34" s="1"/>
  <c r="AO753" i="9"/>
  <c r="N168" i="34" s="1"/>
  <c r="AN753" i="9"/>
  <c r="M168" i="34" s="1"/>
  <c r="AM753" i="9"/>
  <c r="AL753" i="9"/>
  <c r="K168" i="34" s="1"/>
  <c r="AK753" i="9"/>
  <c r="J168" i="34" s="1"/>
  <c r="Z753" i="9"/>
  <c r="O753" i="9"/>
  <c r="N753" i="9"/>
  <c r="AO765" i="9" s="1"/>
  <c r="M753" i="9"/>
  <c r="L753" i="9"/>
  <c r="D168" i="28" s="1"/>
  <c r="K753" i="9"/>
  <c r="AL736" i="9" s="1"/>
  <c r="J753" i="9"/>
  <c r="AK765" i="9" s="1"/>
  <c r="AP752" i="9"/>
  <c r="O167" i="34" s="1"/>
  <c r="AO752" i="9"/>
  <c r="N167" i="34" s="1"/>
  <c r="AN752" i="9"/>
  <c r="M167" i="34" s="1"/>
  <c r="AM752" i="9"/>
  <c r="L167" i="34" s="1"/>
  <c r="AL752" i="9"/>
  <c r="AK752" i="9"/>
  <c r="J167" i="34" s="1"/>
  <c r="Z752" i="9"/>
  <c r="O752" i="9"/>
  <c r="G167" i="28" s="1"/>
  <c r="N752" i="9"/>
  <c r="F167" i="28" s="1"/>
  <c r="M752" i="9"/>
  <c r="E167" i="28" s="1"/>
  <c r="L752" i="9"/>
  <c r="AM764" i="9" s="1"/>
  <c r="K752" i="9"/>
  <c r="AL764" i="9" s="1"/>
  <c r="J752" i="9"/>
  <c r="Z751" i="9"/>
  <c r="Z750" i="9"/>
  <c r="O750" i="9"/>
  <c r="G165" i="28" s="1"/>
  <c r="N750" i="9"/>
  <c r="AO733" i="9" s="1"/>
  <c r="F165" i="34" s="1"/>
  <c r="M750" i="9"/>
  <c r="E165" i="28" s="1"/>
  <c r="L750" i="9"/>
  <c r="D165" i="28" s="1"/>
  <c r="K750" i="9"/>
  <c r="C165" i="28" s="1"/>
  <c r="J750" i="9"/>
  <c r="Z749" i="9"/>
  <c r="O749" i="9"/>
  <c r="N749" i="9"/>
  <c r="M749" i="9"/>
  <c r="L749" i="9"/>
  <c r="D164" i="28" s="1"/>
  <c r="K749" i="9"/>
  <c r="C164" i="28" s="1"/>
  <c r="J749" i="9"/>
  <c r="AK732" i="9" s="1"/>
  <c r="B164" i="34" s="1"/>
  <c r="Z748" i="9"/>
  <c r="O748" i="9"/>
  <c r="AP731" i="9" s="1"/>
  <c r="G163" i="34" s="1"/>
  <c r="N748" i="9"/>
  <c r="AO731" i="9" s="1"/>
  <c r="F163" i="34" s="1"/>
  <c r="M748" i="9"/>
  <c r="AN731" i="9" s="1"/>
  <c r="E163" i="34" s="1"/>
  <c r="L748" i="9"/>
  <c r="AM731" i="9" s="1"/>
  <c r="D163" i="34" s="1"/>
  <c r="K748" i="9"/>
  <c r="AL731" i="9" s="1"/>
  <c r="C163" i="34" s="1"/>
  <c r="J748" i="9"/>
  <c r="Z747" i="9"/>
  <c r="O747" i="9"/>
  <c r="AP730" i="9" s="1"/>
  <c r="G162" i="34" s="1"/>
  <c r="N747" i="9"/>
  <c r="AO730" i="9" s="1"/>
  <c r="F162" i="34" s="1"/>
  <c r="M747" i="9"/>
  <c r="AN730" i="9" s="1"/>
  <c r="E162" i="34" s="1"/>
  <c r="L747" i="9"/>
  <c r="K747" i="9"/>
  <c r="AL730" i="9" s="1"/>
  <c r="C162" i="34" s="1"/>
  <c r="J747" i="9"/>
  <c r="B162" i="28" s="1"/>
  <c r="O746" i="9"/>
  <c r="AP729" i="9" s="1"/>
  <c r="G161" i="34" s="1"/>
  <c r="N746" i="9"/>
  <c r="F161" i="28" s="1"/>
  <c r="M746" i="9"/>
  <c r="AN729" i="9" s="1"/>
  <c r="E161" i="34" s="1"/>
  <c r="L746" i="9"/>
  <c r="D161" i="28" s="1"/>
  <c r="K746" i="9"/>
  <c r="AL729" i="9" s="1"/>
  <c r="J746" i="9"/>
  <c r="Z745" i="9"/>
  <c r="Z744" i="9"/>
  <c r="Z743" i="9"/>
  <c r="Z742" i="9"/>
  <c r="Z741" i="9"/>
  <c r="Z740" i="9"/>
  <c r="Z739" i="9"/>
  <c r="P739" i="9"/>
  <c r="P738" i="9"/>
  <c r="Z737" i="9"/>
  <c r="P737" i="9"/>
  <c r="Z736" i="9"/>
  <c r="P736" i="9"/>
  <c r="AP735" i="9"/>
  <c r="G167" i="34" s="1"/>
  <c r="Z735" i="9"/>
  <c r="P735" i="9"/>
  <c r="Z734" i="9"/>
  <c r="O734" i="9"/>
  <c r="N734" i="9"/>
  <c r="M734" i="9"/>
  <c r="L734" i="9"/>
  <c r="K734" i="9"/>
  <c r="J734" i="9"/>
  <c r="AK733" i="9"/>
  <c r="B165" i="34" s="1"/>
  <c r="P733" i="9"/>
  <c r="Z732" i="9"/>
  <c r="P732" i="9"/>
  <c r="Z731" i="9"/>
  <c r="P731" i="9"/>
  <c r="Z730" i="9"/>
  <c r="P730" i="9"/>
  <c r="Z729" i="9"/>
  <c r="P729" i="9"/>
  <c r="O728" i="9"/>
  <c r="N728" i="9"/>
  <c r="M728" i="9"/>
  <c r="L728" i="9"/>
  <c r="K728" i="9"/>
  <c r="J728" i="9"/>
  <c r="O701" i="9"/>
  <c r="N701" i="9"/>
  <c r="M701" i="9"/>
  <c r="L701" i="9"/>
  <c r="K701" i="9"/>
  <c r="J701" i="9"/>
  <c r="O700" i="9"/>
  <c r="N700" i="9"/>
  <c r="M700" i="9"/>
  <c r="L700" i="9"/>
  <c r="K700" i="9"/>
  <c r="J700" i="9"/>
  <c r="O699" i="9"/>
  <c r="N699" i="9"/>
  <c r="M699" i="9"/>
  <c r="L699" i="9"/>
  <c r="K699" i="9"/>
  <c r="J699" i="9"/>
  <c r="O698" i="9"/>
  <c r="N698" i="9"/>
  <c r="M698" i="9"/>
  <c r="L698" i="9"/>
  <c r="K698" i="9"/>
  <c r="J698" i="9"/>
  <c r="O697" i="9"/>
  <c r="N697" i="9"/>
  <c r="M697" i="9"/>
  <c r="L697" i="9"/>
  <c r="K697" i="9"/>
  <c r="J697" i="9"/>
  <c r="P694" i="9"/>
  <c r="H94" i="31" s="1"/>
  <c r="P693" i="9"/>
  <c r="H93" i="31" s="1"/>
  <c r="P692" i="9"/>
  <c r="P691" i="9"/>
  <c r="P690" i="9"/>
  <c r="O689" i="9"/>
  <c r="G89" i="31" s="1"/>
  <c r="N689" i="9"/>
  <c r="F89" i="31" s="1"/>
  <c r="M689" i="9"/>
  <c r="E89" i="31" s="1"/>
  <c r="L689" i="9"/>
  <c r="D89" i="31" s="1"/>
  <c r="K689" i="9"/>
  <c r="C89" i="31" s="1"/>
  <c r="J689" i="9"/>
  <c r="Z688" i="9"/>
  <c r="P688" i="9"/>
  <c r="H94" i="32" s="1"/>
  <c r="P687" i="9"/>
  <c r="H93" i="32" s="1"/>
  <c r="Z686" i="9"/>
  <c r="P686" i="9"/>
  <c r="H92" i="32" s="1"/>
  <c r="Z685" i="9"/>
  <c r="P685" i="9"/>
  <c r="H91" i="32" s="1"/>
  <c r="Z684" i="9"/>
  <c r="P684" i="9"/>
  <c r="Z683" i="9"/>
  <c r="O683" i="9"/>
  <c r="G89" i="32" s="1"/>
  <c r="N683" i="9"/>
  <c r="F89" i="32" s="1"/>
  <c r="M683" i="9"/>
  <c r="M704" i="9" s="1"/>
  <c r="E110" i="33" s="1"/>
  <c r="L683" i="9"/>
  <c r="K683" i="9"/>
  <c r="K704" i="9" s="1"/>
  <c r="C110" i="33" s="1"/>
  <c r="J683" i="9"/>
  <c r="Z682" i="9"/>
  <c r="Z680" i="9"/>
  <c r="Z679" i="9"/>
  <c r="Z677" i="9"/>
  <c r="Z676" i="9"/>
  <c r="Z675" i="9"/>
  <c r="K675" i="9"/>
  <c r="Z674" i="9"/>
  <c r="Z673" i="9"/>
  <c r="Z672" i="9"/>
  <c r="AP671" i="9"/>
  <c r="O155" i="34" s="1"/>
  <c r="AO671" i="9"/>
  <c r="N155" i="34" s="1"/>
  <c r="AN671" i="9"/>
  <c r="M155" i="34" s="1"/>
  <c r="AM671" i="9"/>
  <c r="L155" i="34" s="1"/>
  <c r="AL671" i="9"/>
  <c r="K155" i="34" s="1"/>
  <c r="AK671" i="9"/>
  <c r="J155" i="34" s="1"/>
  <c r="Z671" i="9"/>
  <c r="O671" i="9"/>
  <c r="AP683" i="9" s="1"/>
  <c r="N671" i="9"/>
  <c r="AO654" i="9" s="1"/>
  <c r="M671" i="9"/>
  <c r="L671" i="9"/>
  <c r="K671" i="9"/>
  <c r="AL654" i="9" s="1"/>
  <c r="C155" i="34" s="1"/>
  <c r="J671" i="9"/>
  <c r="AK654" i="9" s="1"/>
  <c r="B155" i="34" s="1"/>
  <c r="AP670" i="9"/>
  <c r="O154" i="34" s="1"/>
  <c r="AO670" i="9"/>
  <c r="N154" i="34" s="1"/>
  <c r="AN670" i="9"/>
  <c r="AM670" i="9"/>
  <c r="L154" i="34" s="1"/>
  <c r="AL670" i="9"/>
  <c r="K154" i="34" s="1"/>
  <c r="AK670" i="9"/>
  <c r="J154" i="34" s="1"/>
  <c r="Z670" i="9"/>
  <c r="O670" i="9"/>
  <c r="AP682" i="9" s="1"/>
  <c r="N670" i="9"/>
  <c r="AO653" i="9" s="1"/>
  <c r="F154" i="34" s="1"/>
  <c r="M670" i="9"/>
  <c r="AN653" i="9" s="1"/>
  <c r="E154" i="34" s="1"/>
  <c r="L670" i="9"/>
  <c r="AM653" i="9" s="1"/>
  <c r="D154" i="34" s="1"/>
  <c r="K670" i="9"/>
  <c r="C154" i="28" s="1"/>
  <c r="J670" i="9"/>
  <c r="AK682" i="9" s="1"/>
  <c r="AP669" i="9"/>
  <c r="O153" i="34" s="1"/>
  <c r="AO669" i="9"/>
  <c r="N153" i="34" s="1"/>
  <c r="AN669" i="9"/>
  <c r="M153" i="34" s="1"/>
  <c r="AM669" i="9"/>
  <c r="L153" i="34" s="1"/>
  <c r="AL669" i="9"/>
  <c r="AK669" i="9"/>
  <c r="Z669" i="9"/>
  <c r="O669" i="9"/>
  <c r="N669" i="9"/>
  <c r="AO652" i="9" s="1"/>
  <c r="F153" i="34" s="1"/>
  <c r="M669" i="9"/>
  <c r="E153" i="28" s="1"/>
  <c r="L669" i="9"/>
  <c r="AM652" i="9" s="1"/>
  <c r="D153" i="34" s="1"/>
  <c r="K669" i="9"/>
  <c r="C153" i="28" s="1"/>
  <c r="J669" i="9"/>
  <c r="B153" i="28" s="1"/>
  <c r="AP668" i="9"/>
  <c r="AO668" i="9"/>
  <c r="N152" i="34" s="1"/>
  <c r="AN668" i="9"/>
  <c r="M152" i="34" s="1"/>
  <c r="AM668" i="9"/>
  <c r="L152" i="34" s="1"/>
  <c r="AL668" i="9"/>
  <c r="K152" i="34" s="1"/>
  <c r="AK668" i="9"/>
  <c r="J152" i="34" s="1"/>
  <c r="Z668" i="9"/>
  <c r="O668" i="9"/>
  <c r="AP680" i="9" s="1"/>
  <c r="N668" i="9"/>
  <c r="AO680" i="9" s="1"/>
  <c r="M668" i="9"/>
  <c r="AN651" i="9" s="1"/>
  <c r="E152" i="34" s="1"/>
  <c r="L668" i="9"/>
  <c r="K668" i="9"/>
  <c r="AL680" i="9" s="1"/>
  <c r="J668" i="9"/>
  <c r="AK680" i="9" s="1"/>
  <c r="AP667" i="9"/>
  <c r="O151" i="34" s="1"/>
  <c r="AO667" i="9"/>
  <c r="N151" i="34" s="1"/>
  <c r="AN667" i="9"/>
  <c r="M151" i="34" s="1"/>
  <c r="AM667" i="9"/>
  <c r="AL667" i="9"/>
  <c r="K151" i="34" s="1"/>
  <c r="AK667" i="9"/>
  <c r="Z667" i="9"/>
  <c r="O667" i="9"/>
  <c r="AP650" i="9" s="1"/>
  <c r="G151" i="34" s="1"/>
  <c r="N667" i="9"/>
  <c r="M667" i="9"/>
  <c r="E151" i="28" s="1"/>
  <c r="L667" i="9"/>
  <c r="AM650" i="9" s="1"/>
  <c r="D151" i="34" s="1"/>
  <c r="K667" i="9"/>
  <c r="AL650" i="9" s="1"/>
  <c r="J667" i="9"/>
  <c r="B151" i="28" s="1"/>
  <c r="Z666" i="9"/>
  <c r="Z665" i="9"/>
  <c r="O665" i="9"/>
  <c r="AP648" i="9" s="1"/>
  <c r="G149" i="34" s="1"/>
  <c r="N665" i="9"/>
  <c r="AO648" i="9" s="1"/>
  <c r="M665" i="9"/>
  <c r="AN648" i="9" s="1"/>
  <c r="E149" i="34" s="1"/>
  <c r="L665" i="9"/>
  <c r="AM648" i="9" s="1"/>
  <c r="D149" i="34" s="1"/>
  <c r="K665" i="9"/>
  <c r="AL648" i="9" s="1"/>
  <c r="C149" i="34" s="1"/>
  <c r="J665" i="9"/>
  <c r="B149" i="28" s="1"/>
  <c r="Z664" i="9"/>
  <c r="O664" i="9"/>
  <c r="G148" i="28" s="1"/>
  <c r="N664" i="9"/>
  <c r="AO647" i="9" s="1"/>
  <c r="F148" i="34" s="1"/>
  <c r="M664" i="9"/>
  <c r="AN647" i="9" s="1"/>
  <c r="E148" i="34" s="1"/>
  <c r="L664" i="9"/>
  <c r="K664" i="9"/>
  <c r="C148" i="28" s="1"/>
  <c r="J664" i="9"/>
  <c r="AK647" i="9" s="1"/>
  <c r="B148" i="34" s="1"/>
  <c r="Z663" i="9"/>
  <c r="O663" i="9"/>
  <c r="N663" i="9"/>
  <c r="AO646" i="9" s="1"/>
  <c r="F147" i="34" s="1"/>
  <c r="M663" i="9"/>
  <c r="AN646" i="9" s="1"/>
  <c r="E147" i="34" s="1"/>
  <c r="L663" i="9"/>
  <c r="AM646" i="9" s="1"/>
  <c r="D147" i="34" s="1"/>
  <c r="K663" i="9"/>
  <c r="C147" i="28" s="1"/>
  <c r="J663" i="9"/>
  <c r="AK646" i="9" s="1"/>
  <c r="B147" i="34" s="1"/>
  <c r="Z662" i="9"/>
  <c r="O662" i="9"/>
  <c r="N662" i="9"/>
  <c r="AO645" i="9" s="1"/>
  <c r="F146" i="34" s="1"/>
  <c r="M662" i="9"/>
  <c r="E146" i="28" s="1"/>
  <c r="L662" i="9"/>
  <c r="AM645" i="9" s="1"/>
  <c r="D146" i="34" s="1"/>
  <c r="K662" i="9"/>
  <c r="AL645" i="9" s="1"/>
  <c r="C146" i="34" s="1"/>
  <c r="J662" i="9"/>
  <c r="AK645" i="9" s="1"/>
  <c r="B146" i="34" s="1"/>
  <c r="O661" i="9"/>
  <c r="G145" i="28" s="1"/>
  <c r="N661" i="9"/>
  <c r="M661" i="9"/>
  <c r="AN644" i="9" s="1"/>
  <c r="E145" i="34" s="1"/>
  <c r="L661" i="9"/>
  <c r="K661" i="9"/>
  <c r="C145" i="28" s="1"/>
  <c r="J661" i="9"/>
  <c r="B145" i="28" s="1"/>
  <c r="Z660" i="9"/>
  <c r="Z659" i="9"/>
  <c r="Z658" i="9"/>
  <c r="Z657" i="9"/>
  <c r="Z656" i="9"/>
  <c r="Z655" i="9"/>
  <c r="Z654" i="9"/>
  <c r="P654" i="9"/>
  <c r="AP653" i="9"/>
  <c r="G154" i="34" s="1"/>
  <c r="P653" i="9"/>
  <c r="Z652" i="9"/>
  <c r="P652" i="9"/>
  <c r="Z651" i="9"/>
  <c r="P651" i="9"/>
  <c r="Z650" i="9"/>
  <c r="P650" i="9"/>
  <c r="Z649" i="9"/>
  <c r="O649" i="9"/>
  <c r="N649" i="9"/>
  <c r="M649" i="9"/>
  <c r="L649" i="9"/>
  <c r="K649" i="9"/>
  <c r="K656" i="9" s="1"/>
  <c r="J649" i="9"/>
  <c r="J656" i="9" s="1"/>
  <c r="P648" i="9"/>
  <c r="Z647" i="9"/>
  <c r="P647" i="9"/>
  <c r="Z646" i="9"/>
  <c r="P646" i="9"/>
  <c r="Z645" i="9"/>
  <c r="P645" i="9"/>
  <c r="Z644" i="9"/>
  <c r="P644" i="9"/>
  <c r="O643" i="9"/>
  <c r="N643" i="9"/>
  <c r="M643" i="9"/>
  <c r="L643" i="9"/>
  <c r="K643" i="9"/>
  <c r="J643" i="9"/>
  <c r="O616" i="9"/>
  <c r="N616" i="9"/>
  <c r="M616" i="9"/>
  <c r="L616" i="9"/>
  <c r="K616" i="9"/>
  <c r="J616" i="9"/>
  <c r="O615" i="9"/>
  <c r="N615" i="9"/>
  <c r="M615" i="9"/>
  <c r="L615" i="9"/>
  <c r="K615" i="9"/>
  <c r="J615" i="9"/>
  <c r="O614" i="9"/>
  <c r="N614" i="9"/>
  <c r="M614" i="9"/>
  <c r="L614" i="9"/>
  <c r="K614" i="9"/>
  <c r="J614" i="9"/>
  <c r="O613" i="9"/>
  <c r="N613" i="9"/>
  <c r="M613" i="9"/>
  <c r="L613" i="9"/>
  <c r="K613" i="9"/>
  <c r="J613" i="9"/>
  <c r="O612" i="9"/>
  <c r="N612" i="9"/>
  <c r="M612" i="9"/>
  <c r="L612" i="9"/>
  <c r="K612" i="9"/>
  <c r="J612" i="9"/>
  <c r="P609" i="9"/>
  <c r="H83" i="31" s="1"/>
  <c r="P608" i="9"/>
  <c r="P607" i="9"/>
  <c r="P606" i="9"/>
  <c r="H80" i="31" s="1"/>
  <c r="P605" i="9"/>
  <c r="O604" i="9"/>
  <c r="G78" i="31" s="1"/>
  <c r="N604" i="9"/>
  <c r="F78" i="31" s="1"/>
  <c r="M604" i="9"/>
  <c r="L604" i="9"/>
  <c r="D78" i="31" s="1"/>
  <c r="K604" i="9"/>
  <c r="J604" i="9"/>
  <c r="Z603" i="9"/>
  <c r="P603" i="9"/>
  <c r="H83" i="32" s="1"/>
  <c r="P602" i="9"/>
  <c r="H82" i="32" s="1"/>
  <c r="Z601" i="9"/>
  <c r="P601" i="9"/>
  <c r="Z600" i="9"/>
  <c r="P600" i="9"/>
  <c r="H80" i="32" s="1"/>
  <c r="Z599" i="9"/>
  <c r="P599" i="9"/>
  <c r="H79" i="32" s="1"/>
  <c r="Z598" i="9"/>
  <c r="O598" i="9"/>
  <c r="G78" i="32" s="1"/>
  <c r="N598" i="9"/>
  <c r="F78" i="32" s="1"/>
  <c r="M598" i="9"/>
  <c r="L598" i="9"/>
  <c r="D78" i="32" s="1"/>
  <c r="K598" i="9"/>
  <c r="J598" i="9"/>
  <c r="Z597" i="9"/>
  <c r="Z595" i="9"/>
  <c r="Z594" i="9"/>
  <c r="Z592" i="9"/>
  <c r="Z591" i="9"/>
  <c r="Z590" i="9"/>
  <c r="K590" i="9"/>
  <c r="Z589" i="9"/>
  <c r="Z588" i="9"/>
  <c r="Z587" i="9"/>
  <c r="AP586" i="9"/>
  <c r="AO586" i="9"/>
  <c r="N137" i="34" s="1"/>
  <c r="AN586" i="9"/>
  <c r="M137" i="34" s="1"/>
  <c r="AM586" i="9"/>
  <c r="L137" i="34" s="1"/>
  <c r="AL586" i="9"/>
  <c r="K137" i="34" s="1"/>
  <c r="AK586" i="9"/>
  <c r="Z586" i="9"/>
  <c r="O586" i="9"/>
  <c r="G137" i="28" s="1"/>
  <c r="N586" i="9"/>
  <c r="M586" i="9"/>
  <c r="AN569" i="9" s="1"/>
  <c r="E137" i="34" s="1"/>
  <c r="L586" i="9"/>
  <c r="AM569" i="9" s="1"/>
  <c r="D137" i="34" s="1"/>
  <c r="K586" i="9"/>
  <c r="AL569" i="9" s="1"/>
  <c r="C137" i="34" s="1"/>
  <c r="J586" i="9"/>
  <c r="B137" i="28" s="1"/>
  <c r="AP585" i="9"/>
  <c r="AO585" i="9"/>
  <c r="AN585" i="9"/>
  <c r="AM585" i="9"/>
  <c r="AL585" i="9"/>
  <c r="K136" i="34" s="1"/>
  <c r="AK585" i="9"/>
  <c r="J136" i="34" s="1"/>
  <c r="Z585" i="9"/>
  <c r="O585" i="9"/>
  <c r="G136" i="28" s="1"/>
  <c r="N585" i="9"/>
  <c r="AO568" i="9" s="1"/>
  <c r="M585" i="9"/>
  <c r="AN568" i="9" s="1"/>
  <c r="E136" i="34" s="1"/>
  <c r="L585" i="9"/>
  <c r="AM568" i="9" s="1"/>
  <c r="D136" i="34" s="1"/>
  <c r="K585" i="9"/>
  <c r="J585" i="9"/>
  <c r="B136" i="28" s="1"/>
  <c r="AP584" i="9"/>
  <c r="O135" i="34" s="1"/>
  <c r="AO584" i="9"/>
  <c r="N135" i="34" s="1"/>
  <c r="AN584" i="9"/>
  <c r="M135" i="34" s="1"/>
  <c r="AM584" i="9"/>
  <c r="AL584" i="9"/>
  <c r="K135" i="34" s="1"/>
  <c r="AK584" i="9"/>
  <c r="J135" i="34" s="1"/>
  <c r="Z584" i="9"/>
  <c r="O584" i="9"/>
  <c r="G135" i="28" s="1"/>
  <c r="N584" i="9"/>
  <c r="AO567" i="9" s="1"/>
  <c r="F135" i="34" s="1"/>
  <c r="M584" i="9"/>
  <c r="E135" i="28" s="1"/>
  <c r="L584" i="9"/>
  <c r="AM567" i="9" s="1"/>
  <c r="D135" i="34" s="1"/>
  <c r="K584" i="9"/>
  <c r="AL567" i="9" s="1"/>
  <c r="C135" i="34" s="1"/>
  <c r="J584" i="9"/>
  <c r="AK567" i="9" s="1"/>
  <c r="AP583" i="9"/>
  <c r="AO583" i="9"/>
  <c r="AN583" i="9"/>
  <c r="M134" i="34" s="1"/>
  <c r="AM583" i="9"/>
  <c r="L134" i="34" s="1"/>
  <c r="AL583" i="9"/>
  <c r="AK583" i="9"/>
  <c r="J134" i="34" s="1"/>
  <c r="Z583" i="9"/>
  <c r="O583" i="9"/>
  <c r="AP566" i="9" s="1"/>
  <c r="G134" i="34" s="1"/>
  <c r="N583" i="9"/>
  <c r="AO566" i="9" s="1"/>
  <c r="F134" i="34" s="1"/>
  <c r="M583" i="9"/>
  <c r="L583" i="9"/>
  <c r="AM566" i="9" s="1"/>
  <c r="D134" i="34" s="1"/>
  <c r="K583" i="9"/>
  <c r="J583" i="9"/>
  <c r="AK566" i="9" s="1"/>
  <c r="B134" i="34" s="1"/>
  <c r="AP582" i="9"/>
  <c r="O133" i="34" s="1"/>
  <c r="AO582" i="9"/>
  <c r="AN582" i="9"/>
  <c r="M133" i="34" s="1"/>
  <c r="AM582" i="9"/>
  <c r="L133" i="34" s="1"/>
  <c r="AL582" i="9"/>
  <c r="AK582" i="9"/>
  <c r="J133" i="34" s="1"/>
  <c r="Z582" i="9"/>
  <c r="O582" i="9"/>
  <c r="N582" i="9"/>
  <c r="F133" i="28" s="1"/>
  <c r="M582" i="9"/>
  <c r="AN565" i="9" s="1"/>
  <c r="E133" i="34" s="1"/>
  <c r="L582" i="9"/>
  <c r="AM565" i="9" s="1"/>
  <c r="D133" i="34" s="1"/>
  <c r="K582" i="9"/>
  <c r="C133" i="28" s="1"/>
  <c r="J582" i="9"/>
  <c r="Z581" i="9"/>
  <c r="Z580" i="9"/>
  <c r="O580" i="9"/>
  <c r="AP563" i="9" s="1"/>
  <c r="G131" i="34" s="1"/>
  <c r="N580" i="9"/>
  <c r="AO563" i="9" s="1"/>
  <c r="F131" i="34" s="1"/>
  <c r="M580" i="9"/>
  <c r="AN563" i="9" s="1"/>
  <c r="L580" i="9"/>
  <c r="K580" i="9"/>
  <c r="C131" i="28" s="1"/>
  <c r="J580" i="9"/>
  <c r="AK563" i="9" s="1"/>
  <c r="Z579" i="9"/>
  <c r="O579" i="9"/>
  <c r="AP562" i="9" s="1"/>
  <c r="G130" i="34" s="1"/>
  <c r="N579" i="9"/>
  <c r="AO562" i="9" s="1"/>
  <c r="F130" i="34" s="1"/>
  <c r="M579" i="9"/>
  <c r="AN562" i="9" s="1"/>
  <c r="E130" i="34" s="1"/>
  <c r="L579" i="9"/>
  <c r="AM562" i="9" s="1"/>
  <c r="K579" i="9"/>
  <c r="AL562" i="9" s="1"/>
  <c r="C130" i="34" s="1"/>
  <c r="J579" i="9"/>
  <c r="AK562" i="9" s="1"/>
  <c r="B130" i="34" s="1"/>
  <c r="Z578" i="9"/>
  <c r="O578" i="9"/>
  <c r="G129" i="28" s="1"/>
  <c r="N578" i="9"/>
  <c r="AO561" i="9" s="1"/>
  <c r="F129" i="34" s="1"/>
  <c r="M578" i="9"/>
  <c r="E129" i="28" s="1"/>
  <c r="L578" i="9"/>
  <c r="AM561" i="9" s="1"/>
  <c r="D129" i="34" s="1"/>
  <c r="K578" i="9"/>
  <c r="AL561" i="9" s="1"/>
  <c r="C129" i="34" s="1"/>
  <c r="J578" i="9"/>
  <c r="AK561" i="9" s="1"/>
  <c r="B129" i="34" s="1"/>
  <c r="Z577" i="9"/>
  <c r="O577" i="9"/>
  <c r="N577" i="9"/>
  <c r="AO560" i="9" s="1"/>
  <c r="M577" i="9"/>
  <c r="AN560" i="9" s="1"/>
  <c r="E128" i="34" s="1"/>
  <c r="L577" i="9"/>
  <c r="AM560" i="9" s="1"/>
  <c r="D128" i="34" s="1"/>
  <c r="K577" i="9"/>
  <c r="C128" i="28" s="1"/>
  <c r="J577" i="9"/>
  <c r="AK560" i="9" s="1"/>
  <c r="O576" i="9"/>
  <c r="AP559" i="9" s="1"/>
  <c r="G127" i="34" s="1"/>
  <c r="N576" i="9"/>
  <c r="AO559" i="9" s="1"/>
  <c r="F127" i="34" s="1"/>
  <c r="M576" i="9"/>
  <c r="AN559" i="9" s="1"/>
  <c r="E127" i="34" s="1"/>
  <c r="L576" i="9"/>
  <c r="D127" i="28" s="1"/>
  <c r="K576" i="9"/>
  <c r="J576" i="9"/>
  <c r="AK559" i="9" s="1"/>
  <c r="B127" i="34" s="1"/>
  <c r="Z575" i="9"/>
  <c r="Z574" i="9"/>
  <c r="Z573" i="9"/>
  <c r="Z572" i="9"/>
  <c r="Z571" i="9"/>
  <c r="Z570" i="9"/>
  <c r="Z569" i="9"/>
  <c r="P569" i="9"/>
  <c r="P568" i="9"/>
  <c r="Z567" i="9"/>
  <c r="P567" i="9"/>
  <c r="Z566" i="9"/>
  <c r="P566" i="9"/>
  <c r="Z565" i="9"/>
  <c r="P565" i="9"/>
  <c r="Z564" i="9"/>
  <c r="O564" i="9"/>
  <c r="N564" i="9"/>
  <c r="M564" i="9"/>
  <c r="L564" i="9"/>
  <c r="K564" i="9"/>
  <c r="J564" i="9"/>
  <c r="P563" i="9"/>
  <c r="Z562" i="9"/>
  <c r="P562" i="9"/>
  <c r="Z561" i="9"/>
  <c r="P561" i="9"/>
  <c r="Z560" i="9"/>
  <c r="P560" i="9"/>
  <c r="Z559" i="9"/>
  <c r="P559" i="9"/>
  <c r="O558" i="9"/>
  <c r="N558" i="9"/>
  <c r="M558" i="9"/>
  <c r="L558" i="9"/>
  <c r="K558" i="9"/>
  <c r="J558" i="9"/>
  <c r="O531" i="9"/>
  <c r="N531" i="9"/>
  <c r="M531" i="9"/>
  <c r="L531" i="9"/>
  <c r="K531" i="9"/>
  <c r="J531" i="9"/>
  <c r="O530" i="9"/>
  <c r="N530" i="9"/>
  <c r="M530" i="9"/>
  <c r="L530" i="9"/>
  <c r="K530" i="9"/>
  <c r="J530" i="9"/>
  <c r="O529" i="9"/>
  <c r="N529" i="9"/>
  <c r="M529" i="9"/>
  <c r="L529" i="9"/>
  <c r="K529" i="9"/>
  <c r="J529" i="9"/>
  <c r="O528" i="9"/>
  <c r="N528" i="9"/>
  <c r="M528" i="9"/>
  <c r="L528" i="9"/>
  <c r="K528" i="9"/>
  <c r="J528" i="9"/>
  <c r="O527" i="9"/>
  <c r="N527" i="9"/>
  <c r="M527" i="9"/>
  <c r="L527" i="9"/>
  <c r="K527" i="9"/>
  <c r="J527" i="9"/>
  <c r="O526" i="9"/>
  <c r="N526" i="9"/>
  <c r="M526" i="9"/>
  <c r="L526" i="9"/>
  <c r="K526" i="9"/>
  <c r="J526" i="9"/>
  <c r="P522" i="9"/>
  <c r="P521" i="9"/>
  <c r="H70" i="31" s="1"/>
  <c r="P520" i="9"/>
  <c r="H69" i="31" s="1"/>
  <c r="P519" i="9"/>
  <c r="P518" i="9"/>
  <c r="O517" i="9"/>
  <c r="G66" i="31" s="1"/>
  <c r="N517" i="9"/>
  <c r="F66" i="31" s="1"/>
  <c r="M517" i="9"/>
  <c r="L517" i="9"/>
  <c r="D66" i="31" s="1"/>
  <c r="K517" i="9"/>
  <c r="C66" i="31" s="1"/>
  <c r="J517" i="9"/>
  <c r="B66" i="31" s="1"/>
  <c r="P515" i="9"/>
  <c r="H71" i="32" s="1"/>
  <c r="P514" i="9"/>
  <c r="Z513" i="9"/>
  <c r="P513" i="9"/>
  <c r="H69" i="32" s="1"/>
  <c r="P512" i="9"/>
  <c r="H68" i="32" s="1"/>
  <c r="Z511" i="9"/>
  <c r="P511" i="9"/>
  <c r="H67" i="32" s="1"/>
  <c r="Z510" i="9"/>
  <c r="O510" i="9"/>
  <c r="N510" i="9"/>
  <c r="M510" i="9"/>
  <c r="E66" i="32" s="1"/>
  <c r="L510" i="9"/>
  <c r="D66" i="32" s="1"/>
  <c r="K510" i="9"/>
  <c r="C66" i="32" s="1"/>
  <c r="J510" i="9"/>
  <c r="Z509" i="9"/>
  <c r="Z508" i="9"/>
  <c r="Z507" i="9"/>
  <c r="Z505" i="9"/>
  <c r="Z504" i="9"/>
  <c r="Z502" i="9"/>
  <c r="K502" i="9"/>
  <c r="S491" i="9" s="1"/>
  <c r="S516" i="9" s="1"/>
  <c r="Z501" i="9"/>
  <c r="Z500" i="9"/>
  <c r="Z499" i="9"/>
  <c r="Z498" i="9"/>
  <c r="Z497" i="9"/>
  <c r="O497" i="9"/>
  <c r="G118" i="28" s="1"/>
  <c r="N497" i="9"/>
  <c r="AO478" i="9" s="1"/>
  <c r="F118" i="34" s="1"/>
  <c r="M497" i="9"/>
  <c r="AN478" i="9" s="1"/>
  <c r="E118" i="34" s="1"/>
  <c r="L497" i="9"/>
  <c r="AM478" i="9" s="1"/>
  <c r="D118" i="34" s="1"/>
  <c r="K497" i="9"/>
  <c r="AL478" i="9" s="1"/>
  <c r="C118" i="34" s="1"/>
  <c r="J497" i="9"/>
  <c r="Z496" i="9"/>
  <c r="O496" i="9"/>
  <c r="AP477" i="9" s="1"/>
  <c r="N496" i="9"/>
  <c r="F117" i="28" s="1"/>
  <c r="M496" i="9"/>
  <c r="AN477" i="9" s="1"/>
  <c r="E117" i="34" s="1"/>
  <c r="L496" i="9"/>
  <c r="D117" i="28" s="1"/>
  <c r="K496" i="9"/>
  <c r="AL477" i="9" s="1"/>
  <c r="C117" i="34" s="1"/>
  <c r="J496" i="9"/>
  <c r="AK477" i="9" s="1"/>
  <c r="B117" i="34" s="1"/>
  <c r="AP495" i="9"/>
  <c r="O119" i="34" s="1"/>
  <c r="AO495" i="9"/>
  <c r="N119" i="34" s="1"/>
  <c r="AN495" i="9"/>
  <c r="AM495" i="9"/>
  <c r="L119" i="34" s="1"/>
  <c r="AL495" i="9"/>
  <c r="K119" i="34" s="1"/>
  <c r="AK495" i="9"/>
  <c r="J119" i="34" s="1"/>
  <c r="Z495" i="9"/>
  <c r="O495" i="9"/>
  <c r="N495" i="9"/>
  <c r="AO476" i="9" s="1"/>
  <c r="F116" i="34" s="1"/>
  <c r="M495" i="9"/>
  <c r="E116" i="28" s="1"/>
  <c r="L495" i="9"/>
  <c r="AM476" i="9" s="1"/>
  <c r="K495" i="9"/>
  <c r="AL476" i="9" s="1"/>
  <c r="C116" i="34" s="1"/>
  <c r="J495" i="9"/>
  <c r="AP494" i="9"/>
  <c r="O118" i="34" s="1"/>
  <c r="AO494" i="9"/>
  <c r="N118" i="34" s="1"/>
  <c r="AN494" i="9"/>
  <c r="AM494" i="9"/>
  <c r="L118" i="34" s="1"/>
  <c r="AL494" i="9"/>
  <c r="K118" i="34" s="1"/>
  <c r="AK494" i="9"/>
  <c r="J118" i="34" s="1"/>
  <c r="Z494" i="9"/>
  <c r="O494" i="9"/>
  <c r="G115" i="28" s="1"/>
  <c r="N494" i="9"/>
  <c r="AO475" i="9" s="1"/>
  <c r="F115" i="34" s="1"/>
  <c r="M494" i="9"/>
  <c r="E115" i="28" s="1"/>
  <c r="L494" i="9"/>
  <c r="AM475" i="9" s="1"/>
  <c r="D115" i="34" s="1"/>
  <c r="K494" i="9"/>
  <c r="AL475" i="9" s="1"/>
  <c r="C115" i="34" s="1"/>
  <c r="J494" i="9"/>
  <c r="AK475" i="9" s="1"/>
  <c r="B115" i="34" s="1"/>
  <c r="AP493" i="9"/>
  <c r="O117" i="34" s="1"/>
  <c r="AO493" i="9"/>
  <c r="N117" i="34" s="1"/>
  <c r="AN493" i="9"/>
  <c r="M117" i="34" s="1"/>
  <c r="AM493" i="9"/>
  <c r="L117" i="34" s="1"/>
  <c r="AL493" i="9"/>
  <c r="K117" i="34" s="1"/>
  <c r="AK493" i="9"/>
  <c r="Z493" i="9"/>
  <c r="O493" i="9"/>
  <c r="AP474" i="9" s="1"/>
  <c r="N493" i="9"/>
  <c r="M493" i="9"/>
  <c r="AN474" i="9" s="1"/>
  <c r="E114" i="34" s="1"/>
  <c r="L493" i="9"/>
  <c r="AM474" i="9" s="1"/>
  <c r="D114" i="34" s="1"/>
  <c r="K493" i="9"/>
  <c r="AL474" i="9" s="1"/>
  <c r="C114" i="34" s="1"/>
  <c r="J493" i="9"/>
  <c r="B114" i="28" s="1"/>
  <c r="AP492" i="9"/>
  <c r="AO492" i="9"/>
  <c r="AN492" i="9"/>
  <c r="M116" i="34" s="1"/>
  <c r="AM492" i="9"/>
  <c r="L116" i="34" s="1"/>
  <c r="AL492" i="9"/>
  <c r="K116" i="34" s="1"/>
  <c r="AK492" i="9"/>
  <c r="J116" i="34" s="1"/>
  <c r="Z492" i="9"/>
  <c r="AP491" i="9"/>
  <c r="O115" i="34" s="1"/>
  <c r="AO491" i="9"/>
  <c r="AN491" i="9"/>
  <c r="AM491" i="9"/>
  <c r="L115" i="34" s="1"/>
  <c r="AL491" i="9"/>
  <c r="K115" i="34" s="1"/>
  <c r="AK491" i="9"/>
  <c r="J115" i="34" s="1"/>
  <c r="Z491" i="9"/>
  <c r="AP490" i="9"/>
  <c r="O114" i="34" s="1"/>
  <c r="AO490" i="9"/>
  <c r="N114" i="34" s="1"/>
  <c r="AN490" i="9"/>
  <c r="AM490" i="9"/>
  <c r="AL490" i="9"/>
  <c r="K114" i="34" s="1"/>
  <c r="AK490" i="9"/>
  <c r="J114" i="34" s="1"/>
  <c r="Z490" i="9"/>
  <c r="O490" i="9"/>
  <c r="AP471" i="9" s="1"/>
  <c r="G111" i="34" s="1"/>
  <c r="N490" i="9"/>
  <c r="AO471" i="9" s="1"/>
  <c r="F111" i="34" s="1"/>
  <c r="M490" i="9"/>
  <c r="AN471" i="9" s="1"/>
  <c r="E111" i="34" s="1"/>
  <c r="L490" i="9"/>
  <c r="AM471" i="9" s="1"/>
  <c r="D111" i="34" s="1"/>
  <c r="K490" i="9"/>
  <c r="AL471" i="9" s="1"/>
  <c r="C111" i="34" s="1"/>
  <c r="J490" i="9"/>
  <c r="AK471" i="9" s="1"/>
  <c r="B111" i="34" s="1"/>
  <c r="Z489" i="9"/>
  <c r="O489" i="9"/>
  <c r="AP470" i="9" s="1"/>
  <c r="G110" i="34" s="1"/>
  <c r="N489" i="9"/>
  <c r="AO470" i="9" s="1"/>
  <c r="M489" i="9"/>
  <c r="AN470" i="9" s="1"/>
  <c r="E110" i="34" s="1"/>
  <c r="L489" i="9"/>
  <c r="AM470" i="9" s="1"/>
  <c r="D110" i="34" s="1"/>
  <c r="K489" i="9"/>
  <c r="AL470" i="9" s="1"/>
  <c r="C110" i="34" s="1"/>
  <c r="J489" i="9"/>
  <c r="AK470" i="9" s="1"/>
  <c r="B110" i="34" s="1"/>
  <c r="Z488" i="9"/>
  <c r="O488" i="9"/>
  <c r="AP469" i="9" s="1"/>
  <c r="N488" i="9"/>
  <c r="AO469" i="9" s="1"/>
  <c r="F109" i="34" s="1"/>
  <c r="M488" i="9"/>
  <c r="AN469" i="9" s="1"/>
  <c r="E109" i="34" s="1"/>
  <c r="L488" i="9"/>
  <c r="AM469" i="9" s="1"/>
  <c r="D109" i="34" s="1"/>
  <c r="K488" i="9"/>
  <c r="AL469" i="9" s="1"/>
  <c r="C109" i="34" s="1"/>
  <c r="J488" i="9"/>
  <c r="Z487" i="9"/>
  <c r="O487" i="9"/>
  <c r="AP468" i="9" s="1"/>
  <c r="G108" i="34" s="1"/>
  <c r="N487" i="9"/>
  <c r="AO468" i="9" s="1"/>
  <c r="F108" i="34" s="1"/>
  <c r="M487" i="9"/>
  <c r="AN468" i="9" s="1"/>
  <c r="E108" i="34" s="1"/>
  <c r="L487" i="9"/>
  <c r="D108" i="28" s="1"/>
  <c r="K487" i="9"/>
  <c r="AL468" i="9" s="1"/>
  <c r="C108" i="34" s="1"/>
  <c r="J487" i="9"/>
  <c r="AK468" i="9" s="1"/>
  <c r="B108" i="34" s="1"/>
  <c r="O486" i="9"/>
  <c r="N486" i="9"/>
  <c r="AO467" i="9" s="1"/>
  <c r="F107" i="34" s="1"/>
  <c r="M486" i="9"/>
  <c r="E107" i="28" s="1"/>
  <c r="L486" i="9"/>
  <c r="K486" i="9"/>
  <c r="C107" i="28" s="1"/>
  <c r="J486" i="9"/>
  <c r="AK467" i="9" s="1"/>
  <c r="B107" i="34" s="1"/>
  <c r="Z485" i="9"/>
  <c r="Z484" i="9"/>
  <c r="Z483" i="9"/>
  <c r="Z482" i="9"/>
  <c r="Z481" i="9"/>
  <c r="Z480" i="9"/>
  <c r="AP479" i="9"/>
  <c r="G119" i="34" s="1"/>
  <c r="AO479" i="9"/>
  <c r="F119" i="34" s="1"/>
  <c r="AN479" i="9"/>
  <c r="AM479" i="9"/>
  <c r="D119" i="34" s="1"/>
  <c r="AL479" i="9"/>
  <c r="AK479" i="9"/>
  <c r="B119" i="34" s="1"/>
  <c r="Z479" i="9"/>
  <c r="P479" i="9"/>
  <c r="AQ495" i="9" s="1"/>
  <c r="AP478" i="9"/>
  <c r="G118" i="34" s="1"/>
  <c r="P478" i="9"/>
  <c r="Z477" i="9"/>
  <c r="P477" i="9"/>
  <c r="AP476" i="9"/>
  <c r="G116" i="34" s="1"/>
  <c r="Z476" i="9"/>
  <c r="P476" i="9"/>
  <c r="Z475" i="9"/>
  <c r="P475" i="9"/>
  <c r="Z474" i="9"/>
  <c r="P474" i="9"/>
  <c r="O473" i="9"/>
  <c r="O481" i="9" s="1"/>
  <c r="N473" i="9"/>
  <c r="M473" i="9"/>
  <c r="L473" i="9"/>
  <c r="K473" i="9"/>
  <c r="J473" i="9"/>
  <c r="AP472" i="9"/>
  <c r="G112" i="34" s="1"/>
  <c r="AO472" i="9"/>
  <c r="F112" i="34" s="1"/>
  <c r="AN472" i="9"/>
  <c r="AM472" i="9"/>
  <c r="D112" i="34" s="1"/>
  <c r="AL472" i="9"/>
  <c r="C112" i="34" s="1"/>
  <c r="AK472" i="9"/>
  <c r="P472" i="9"/>
  <c r="AQ472" i="9" s="1"/>
  <c r="H112" i="34" s="1"/>
  <c r="P471" i="9"/>
  <c r="Z470" i="9"/>
  <c r="P470" i="9"/>
  <c r="Z469" i="9"/>
  <c r="P469" i="9"/>
  <c r="Z468" i="9"/>
  <c r="P468" i="9"/>
  <c r="Z467" i="9"/>
  <c r="P467" i="9"/>
  <c r="O466" i="9"/>
  <c r="N466" i="9"/>
  <c r="M466" i="9"/>
  <c r="L466" i="9"/>
  <c r="K466" i="9"/>
  <c r="J466" i="9"/>
  <c r="O439" i="9"/>
  <c r="N439" i="9"/>
  <c r="M439" i="9"/>
  <c r="L439" i="9"/>
  <c r="K439" i="9"/>
  <c r="J439" i="9"/>
  <c r="O438" i="9"/>
  <c r="N438" i="9"/>
  <c r="M438" i="9"/>
  <c r="L438" i="9"/>
  <c r="K438" i="9"/>
  <c r="J438" i="9"/>
  <c r="O437" i="9"/>
  <c r="N437" i="9"/>
  <c r="M437" i="9"/>
  <c r="L437" i="9"/>
  <c r="K437" i="9"/>
  <c r="J437" i="9"/>
  <c r="O436" i="9"/>
  <c r="N436" i="9"/>
  <c r="M436" i="9"/>
  <c r="L436" i="9"/>
  <c r="K436" i="9"/>
  <c r="J436" i="9"/>
  <c r="O435" i="9"/>
  <c r="N435" i="9"/>
  <c r="M435" i="9"/>
  <c r="L435" i="9"/>
  <c r="K435" i="9"/>
  <c r="J435" i="9"/>
  <c r="O434" i="9"/>
  <c r="N434" i="9"/>
  <c r="M434" i="9"/>
  <c r="L434" i="9"/>
  <c r="K434" i="9"/>
  <c r="J434" i="9"/>
  <c r="P431" i="9"/>
  <c r="H60" i="31" s="1"/>
  <c r="P430" i="9"/>
  <c r="P429" i="9"/>
  <c r="H58" i="31" s="1"/>
  <c r="P428" i="9"/>
  <c r="P427" i="9"/>
  <c r="H56" i="31" s="1"/>
  <c r="P426" i="9"/>
  <c r="H55" i="31" s="1"/>
  <c r="O425" i="9"/>
  <c r="G54" i="31" s="1"/>
  <c r="N425" i="9"/>
  <c r="M425" i="9"/>
  <c r="E54" i="31" s="1"/>
  <c r="L425" i="9"/>
  <c r="D54" i="31" s="1"/>
  <c r="K425" i="9"/>
  <c r="C54" i="31" s="1"/>
  <c r="J425" i="9"/>
  <c r="P423" i="9"/>
  <c r="H59" i="32" s="1"/>
  <c r="P422" i="9"/>
  <c r="H58" i="32" s="1"/>
  <c r="Z421" i="9"/>
  <c r="P421" i="9"/>
  <c r="H57" i="32" s="1"/>
  <c r="P420" i="9"/>
  <c r="H56" i="32" s="1"/>
  <c r="Z419" i="9"/>
  <c r="P419" i="9"/>
  <c r="H55" i="32" s="1"/>
  <c r="Z418" i="9"/>
  <c r="O418" i="9"/>
  <c r="N418" i="9"/>
  <c r="F54" i="32" s="1"/>
  <c r="M418" i="9"/>
  <c r="L418" i="9"/>
  <c r="K418" i="9"/>
  <c r="J418" i="9"/>
  <c r="B54" i="32" s="1"/>
  <c r="Z417" i="9"/>
  <c r="Z416" i="9"/>
  <c r="Z415" i="9"/>
  <c r="Z413" i="9"/>
  <c r="Z412" i="9"/>
  <c r="Z410" i="9"/>
  <c r="O410" i="9"/>
  <c r="W406" i="9" s="1"/>
  <c r="W431" i="9" s="1"/>
  <c r="G99" i="26" s="1"/>
  <c r="N410" i="9"/>
  <c r="M410" i="9"/>
  <c r="L410" i="9"/>
  <c r="T406" i="9" s="1"/>
  <c r="T431" i="9" s="1"/>
  <c r="K410" i="9"/>
  <c r="S406" i="9" s="1"/>
  <c r="S431" i="9" s="1"/>
  <c r="C99" i="26" s="1"/>
  <c r="J410" i="9"/>
  <c r="R399" i="9" s="1"/>
  <c r="R424" i="9" s="1"/>
  <c r="B92" i="26" s="1"/>
  <c r="Z409" i="9"/>
  <c r="Z408" i="9"/>
  <c r="Z407" i="9"/>
  <c r="Z406" i="9"/>
  <c r="Z405" i="9"/>
  <c r="O405" i="9"/>
  <c r="AP386" i="9" s="1"/>
  <c r="G98" i="34" s="1"/>
  <c r="N405" i="9"/>
  <c r="AO386" i="9" s="1"/>
  <c r="F98" i="34" s="1"/>
  <c r="M405" i="9"/>
  <c r="E98" i="28" s="1"/>
  <c r="L405" i="9"/>
  <c r="K405" i="9"/>
  <c r="AL386" i="9" s="1"/>
  <c r="C98" i="34" s="1"/>
  <c r="J405" i="9"/>
  <c r="AK386" i="9" s="1"/>
  <c r="B98" i="34" s="1"/>
  <c r="Z404" i="9"/>
  <c r="O404" i="9"/>
  <c r="AP385" i="9" s="1"/>
  <c r="G97" i="34" s="1"/>
  <c r="N404" i="9"/>
  <c r="AO385" i="9" s="1"/>
  <c r="F97" i="34" s="1"/>
  <c r="M404" i="9"/>
  <c r="E97" i="28" s="1"/>
  <c r="L404" i="9"/>
  <c r="D97" i="28" s="1"/>
  <c r="K404" i="9"/>
  <c r="J404" i="9"/>
  <c r="AK385" i="9" s="1"/>
  <c r="B97" i="34" s="1"/>
  <c r="AP403" i="9"/>
  <c r="O99" i="34" s="1"/>
  <c r="AO403" i="9"/>
  <c r="N99" i="34" s="1"/>
  <c r="AN403" i="9"/>
  <c r="M99" i="34" s="1"/>
  <c r="AM403" i="9"/>
  <c r="L99" i="34" s="1"/>
  <c r="AL403" i="9"/>
  <c r="K99" i="34" s="1"/>
  <c r="AK403" i="9"/>
  <c r="J99" i="34" s="1"/>
  <c r="Z403" i="9"/>
  <c r="O403" i="9"/>
  <c r="G96" i="28" s="1"/>
  <c r="N403" i="9"/>
  <c r="AO384" i="9" s="1"/>
  <c r="F96" i="34" s="1"/>
  <c r="M403" i="9"/>
  <c r="E96" i="28" s="1"/>
  <c r="L403" i="9"/>
  <c r="K403" i="9"/>
  <c r="AL384" i="9" s="1"/>
  <c r="C96" i="34" s="1"/>
  <c r="J403" i="9"/>
  <c r="B96" i="28" s="1"/>
  <c r="AP402" i="9"/>
  <c r="O98" i="34" s="1"/>
  <c r="AO402" i="9"/>
  <c r="N98" i="34" s="1"/>
  <c r="AN402" i="9"/>
  <c r="M98" i="34" s="1"/>
  <c r="AM402" i="9"/>
  <c r="L98" i="34" s="1"/>
  <c r="AL402" i="9"/>
  <c r="K98" i="34" s="1"/>
  <c r="AK402" i="9"/>
  <c r="J98" i="34" s="1"/>
  <c r="Z402" i="9"/>
  <c r="O402" i="9"/>
  <c r="AP383" i="9" s="1"/>
  <c r="G95" i="34" s="1"/>
  <c r="N402" i="9"/>
  <c r="AO383" i="9" s="1"/>
  <c r="F95" i="34" s="1"/>
  <c r="M402" i="9"/>
  <c r="L402" i="9"/>
  <c r="D95" i="28" s="1"/>
  <c r="K402" i="9"/>
  <c r="AL383" i="9" s="1"/>
  <c r="C95" i="34" s="1"/>
  <c r="J402" i="9"/>
  <c r="AK383" i="9" s="1"/>
  <c r="B95" i="34" s="1"/>
  <c r="AP401" i="9"/>
  <c r="O97" i="34" s="1"/>
  <c r="AO401" i="9"/>
  <c r="AN401" i="9"/>
  <c r="M97" i="34" s="1"/>
  <c r="AM401" i="9"/>
  <c r="L97" i="34" s="1"/>
  <c r="AL401" i="9"/>
  <c r="AK401" i="9"/>
  <c r="Z401" i="9"/>
  <c r="O401" i="9"/>
  <c r="AP382" i="9" s="1"/>
  <c r="G94" i="34" s="1"/>
  <c r="N401" i="9"/>
  <c r="AO382" i="9" s="1"/>
  <c r="F94" i="34" s="1"/>
  <c r="M401" i="9"/>
  <c r="AN382" i="9" s="1"/>
  <c r="E94" i="34" s="1"/>
  <c r="L401" i="9"/>
  <c r="AM382" i="9" s="1"/>
  <c r="D94" i="34" s="1"/>
  <c r="K401" i="9"/>
  <c r="AL382" i="9" s="1"/>
  <c r="C94" i="34" s="1"/>
  <c r="J401" i="9"/>
  <c r="AK382" i="9" s="1"/>
  <c r="B94" i="34" s="1"/>
  <c r="AP400" i="9"/>
  <c r="O96" i="34" s="1"/>
  <c r="AO400" i="9"/>
  <c r="N96" i="34" s="1"/>
  <c r="AN400" i="9"/>
  <c r="M96" i="34" s="1"/>
  <c r="AM400" i="9"/>
  <c r="L96" i="34" s="1"/>
  <c r="AL400" i="9"/>
  <c r="K96" i="34" s="1"/>
  <c r="AK400" i="9"/>
  <c r="J96" i="34" s="1"/>
  <c r="Z400" i="9"/>
  <c r="AP399" i="9"/>
  <c r="O95" i="34" s="1"/>
  <c r="AO399" i="9"/>
  <c r="N95" i="34" s="1"/>
  <c r="AN399" i="9"/>
  <c r="M95" i="34" s="1"/>
  <c r="AM399" i="9"/>
  <c r="L95" i="34" s="1"/>
  <c r="AL399" i="9"/>
  <c r="K95" i="34" s="1"/>
  <c r="AK399" i="9"/>
  <c r="J95" i="34" s="1"/>
  <c r="Z399" i="9"/>
  <c r="AP398" i="9"/>
  <c r="O94" i="34" s="1"/>
  <c r="AO398" i="9"/>
  <c r="AN398" i="9"/>
  <c r="M94" i="34" s="1"/>
  <c r="AM398" i="9"/>
  <c r="L94" i="34" s="1"/>
  <c r="AL398" i="9"/>
  <c r="K94" i="34" s="1"/>
  <c r="AK398" i="9"/>
  <c r="J94" i="34" s="1"/>
  <c r="Z398" i="9"/>
  <c r="O398" i="9"/>
  <c r="AP379" i="9" s="1"/>
  <c r="G91" i="34" s="1"/>
  <c r="N398" i="9"/>
  <c r="AO379" i="9" s="1"/>
  <c r="F91" i="34" s="1"/>
  <c r="M398" i="9"/>
  <c r="L398" i="9"/>
  <c r="D91" i="28" s="1"/>
  <c r="K398" i="9"/>
  <c r="C91" i="28" s="1"/>
  <c r="J398" i="9"/>
  <c r="B91" i="28" s="1"/>
  <c r="Z397" i="9"/>
  <c r="O397" i="9"/>
  <c r="AP378" i="9" s="1"/>
  <c r="G90" i="34" s="1"/>
  <c r="N397" i="9"/>
  <c r="AO378" i="9" s="1"/>
  <c r="F90" i="34" s="1"/>
  <c r="M397" i="9"/>
  <c r="AN378" i="9" s="1"/>
  <c r="E90" i="34" s="1"/>
  <c r="L397" i="9"/>
  <c r="D90" i="28" s="1"/>
  <c r="K397" i="9"/>
  <c r="C90" i="28" s="1"/>
  <c r="J397" i="9"/>
  <c r="AK378" i="9" s="1"/>
  <c r="B90" i="34" s="1"/>
  <c r="Z396" i="9"/>
  <c r="O396" i="9"/>
  <c r="AP377" i="9" s="1"/>
  <c r="G89" i="34" s="1"/>
  <c r="N396" i="9"/>
  <c r="AO377" i="9" s="1"/>
  <c r="F89" i="34" s="1"/>
  <c r="M396" i="9"/>
  <c r="E89" i="28" s="1"/>
  <c r="L396" i="9"/>
  <c r="D89" i="28" s="1"/>
  <c r="K396" i="9"/>
  <c r="C89" i="28" s="1"/>
  <c r="J396" i="9"/>
  <c r="B89" i="28" s="1"/>
  <c r="Z395" i="9"/>
  <c r="O395" i="9"/>
  <c r="AP376" i="9" s="1"/>
  <c r="G88" i="34" s="1"/>
  <c r="N395" i="9"/>
  <c r="AO376" i="9" s="1"/>
  <c r="F88" i="34" s="1"/>
  <c r="M395" i="9"/>
  <c r="AN376" i="9" s="1"/>
  <c r="E88" i="34" s="1"/>
  <c r="L395" i="9"/>
  <c r="D88" i="28" s="1"/>
  <c r="K395" i="9"/>
  <c r="C88" i="28" s="1"/>
  <c r="J395" i="9"/>
  <c r="O394" i="9"/>
  <c r="AP375" i="9" s="1"/>
  <c r="G87" i="34" s="1"/>
  <c r="N394" i="9"/>
  <c r="F87" i="28" s="1"/>
  <c r="M394" i="9"/>
  <c r="E87" i="28" s="1"/>
  <c r="L394" i="9"/>
  <c r="K394" i="9"/>
  <c r="J394" i="9"/>
  <c r="AK375" i="9" s="1"/>
  <c r="B87" i="34" s="1"/>
  <c r="Z393" i="9"/>
  <c r="Z392" i="9"/>
  <c r="Z391" i="9"/>
  <c r="Z390" i="9"/>
  <c r="Z389" i="9"/>
  <c r="Z388" i="9"/>
  <c r="AP387" i="9"/>
  <c r="G99" i="34" s="1"/>
  <c r="AO387" i="9"/>
  <c r="F99" i="34" s="1"/>
  <c r="AN387" i="9"/>
  <c r="E99" i="34" s="1"/>
  <c r="AM387" i="9"/>
  <c r="D99" i="34" s="1"/>
  <c r="AL387" i="9"/>
  <c r="C99" i="34" s="1"/>
  <c r="AK387" i="9"/>
  <c r="Z387" i="9"/>
  <c r="P387" i="9"/>
  <c r="P386" i="9"/>
  <c r="Z385" i="9"/>
  <c r="P385" i="9"/>
  <c r="Z384" i="9"/>
  <c r="P384" i="9"/>
  <c r="AN383" i="9"/>
  <c r="E95" i="34" s="1"/>
  <c r="Z383" i="9"/>
  <c r="P383" i="9"/>
  <c r="Z382" i="9"/>
  <c r="P382" i="9"/>
  <c r="O381" i="9"/>
  <c r="O389" i="9" s="1"/>
  <c r="N381" i="9"/>
  <c r="M381" i="9"/>
  <c r="L381" i="9"/>
  <c r="K381" i="9"/>
  <c r="J381" i="9"/>
  <c r="AP380" i="9"/>
  <c r="G92" i="34" s="1"/>
  <c r="AO380" i="9"/>
  <c r="F92" i="34" s="1"/>
  <c r="AN380" i="9"/>
  <c r="AM380" i="9"/>
  <c r="D92" i="34" s="1"/>
  <c r="AL380" i="9"/>
  <c r="C92" i="34" s="1"/>
  <c r="AK380" i="9"/>
  <c r="P380" i="9"/>
  <c r="AQ380" i="9" s="1"/>
  <c r="H92" i="34" s="1"/>
  <c r="P379" i="9"/>
  <c r="Z378" i="9"/>
  <c r="P378" i="9"/>
  <c r="Z377" i="9"/>
  <c r="P377" i="9"/>
  <c r="Z376" i="9"/>
  <c r="P376" i="9"/>
  <c r="Z375" i="9"/>
  <c r="P375" i="9"/>
  <c r="O374" i="9"/>
  <c r="N374" i="9"/>
  <c r="M374" i="9"/>
  <c r="L374" i="9"/>
  <c r="K374" i="9"/>
  <c r="J374" i="9"/>
  <c r="O347" i="9"/>
  <c r="N347" i="9"/>
  <c r="M347" i="9"/>
  <c r="L347" i="9"/>
  <c r="K347" i="9"/>
  <c r="J347" i="9"/>
  <c r="O346" i="9"/>
  <c r="N346" i="9"/>
  <c r="M346" i="9"/>
  <c r="L346" i="9"/>
  <c r="K346" i="9"/>
  <c r="J346" i="9"/>
  <c r="O345" i="9"/>
  <c r="N345" i="9"/>
  <c r="M345" i="9"/>
  <c r="L345" i="9"/>
  <c r="K345" i="9"/>
  <c r="J345" i="9"/>
  <c r="O344" i="9"/>
  <c r="N344" i="9"/>
  <c r="M344" i="9"/>
  <c r="L344" i="9"/>
  <c r="K344" i="9"/>
  <c r="J344" i="9"/>
  <c r="O343" i="9"/>
  <c r="N343" i="9"/>
  <c r="M343" i="9"/>
  <c r="L343" i="9"/>
  <c r="K343" i="9"/>
  <c r="J343" i="9"/>
  <c r="O342" i="9"/>
  <c r="N342" i="9"/>
  <c r="M342" i="9"/>
  <c r="L342" i="9"/>
  <c r="K342" i="9"/>
  <c r="J342" i="9"/>
  <c r="Q339" i="9"/>
  <c r="P339" i="9"/>
  <c r="H48" i="31" s="1"/>
  <c r="P338" i="9"/>
  <c r="H47" i="31" s="1"/>
  <c r="P337" i="9"/>
  <c r="H46" i="31" s="1"/>
  <c r="P336" i="9"/>
  <c r="H45" i="31" s="1"/>
  <c r="P335" i="9"/>
  <c r="P334" i="9"/>
  <c r="H43" i="31" s="1"/>
  <c r="O333" i="9"/>
  <c r="G42" i="31" s="1"/>
  <c r="N333" i="9"/>
  <c r="F42" i="31" s="1"/>
  <c r="M333" i="9"/>
  <c r="E42" i="31" s="1"/>
  <c r="L333" i="9"/>
  <c r="D42" i="31" s="1"/>
  <c r="K333" i="9"/>
  <c r="C42" i="31" s="1"/>
  <c r="J333" i="9"/>
  <c r="B42" i="31" s="1"/>
  <c r="Q332" i="9"/>
  <c r="P332" i="9"/>
  <c r="H48" i="32" s="1"/>
  <c r="P331" i="9"/>
  <c r="H47" i="32" s="1"/>
  <c r="P330" i="9"/>
  <c r="H46" i="32" s="1"/>
  <c r="Z329" i="9"/>
  <c r="P329" i="9"/>
  <c r="H45" i="32" s="1"/>
  <c r="P328" i="9"/>
  <c r="Z327" i="9"/>
  <c r="P327" i="9"/>
  <c r="H43" i="32" s="1"/>
  <c r="Z326" i="9"/>
  <c r="O326" i="9"/>
  <c r="G42" i="32" s="1"/>
  <c r="N326" i="9"/>
  <c r="F42" i="32" s="1"/>
  <c r="M326" i="9"/>
  <c r="E42" i="32" s="1"/>
  <c r="L326" i="9"/>
  <c r="D42" i="32" s="1"/>
  <c r="K326" i="9"/>
  <c r="C42" i="32" s="1"/>
  <c r="J326" i="9"/>
  <c r="Z325" i="9"/>
  <c r="Z324" i="9"/>
  <c r="Z323" i="9"/>
  <c r="Z321" i="9"/>
  <c r="Z320" i="9"/>
  <c r="Z318" i="9"/>
  <c r="O318" i="9"/>
  <c r="N318" i="9"/>
  <c r="N228" i="9" s="1"/>
  <c r="M318" i="9"/>
  <c r="L318" i="9"/>
  <c r="K318" i="9"/>
  <c r="J318" i="9"/>
  <c r="R307" i="9" s="1"/>
  <c r="Z317" i="9"/>
  <c r="Z316" i="9"/>
  <c r="Z315" i="9"/>
  <c r="Z314" i="9"/>
  <c r="Z313" i="9"/>
  <c r="O313" i="9"/>
  <c r="N313" i="9"/>
  <c r="AO294" i="9" s="1"/>
  <c r="F78" i="34" s="1"/>
  <c r="M313" i="9"/>
  <c r="AN294" i="9" s="1"/>
  <c r="E78" i="34" s="1"/>
  <c r="L313" i="9"/>
  <c r="D78" i="28" s="1"/>
  <c r="K313" i="9"/>
  <c r="C78" i="28" s="1"/>
  <c r="J313" i="9"/>
  <c r="B78" i="28" s="1"/>
  <c r="Z312" i="9"/>
  <c r="O312" i="9"/>
  <c r="AP293" i="9" s="1"/>
  <c r="G77" i="34" s="1"/>
  <c r="N312" i="9"/>
  <c r="AO293" i="9" s="1"/>
  <c r="F77" i="34" s="1"/>
  <c r="M312" i="9"/>
  <c r="E77" i="28" s="1"/>
  <c r="L312" i="9"/>
  <c r="AM293" i="9" s="1"/>
  <c r="D77" i="34" s="1"/>
  <c r="K312" i="9"/>
  <c r="J312" i="9"/>
  <c r="AP311" i="9"/>
  <c r="O79" i="34" s="1"/>
  <c r="AO311" i="9"/>
  <c r="N79" i="34" s="1"/>
  <c r="AN311" i="9"/>
  <c r="M79" i="34" s="1"/>
  <c r="AM311" i="9"/>
  <c r="L79" i="34" s="1"/>
  <c r="AL311" i="9"/>
  <c r="K79" i="34" s="1"/>
  <c r="AK311" i="9"/>
  <c r="J79" i="34" s="1"/>
  <c r="Z311" i="9"/>
  <c r="O311" i="9"/>
  <c r="G76" i="28" s="1"/>
  <c r="N311" i="9"/>
  <c r="AO292" i="9" s="1"/>
  <c r="F76" i="34" s="1"/>
  <c r="M311" i="9"/>
  <c r="L311" i="9"/>
  <c r="AM292" i="9" s="1"/>
  <c r="D76" i="34" s="1"/>
  <c r="K311" i="9"/>
  <c r="AL292" i="9" s="1"/>
  <c r="C76" i="34" s="1"/>
  <c r="J311" i="9"/>
  <c r="B76" i="28" s="1"/>
  <c r="AP310" i="9"/>
  <c r="O78" i="34" s="1"/>
  <c r="AO310" i="9"/>
  <c r="N78" i="34" s="1"/>
  <c r="AN310" i="9"/>
  <c r="M78" i="34" s="1"/>
  <c r="AM310" i="9"/>
  <c r="L78" i="34" s="1"/>
  <c r="AL310" i="9"/>
  <c r="K78" i="34" s="1"/>
  <c r="AK310" i="9"/>
  <c r="J78" i="34" s="1"/>
  <c r="Z310" i="9"/>
  <c r="O310" i="9"/>
  <c r="AP291" i="9" s="1"/>
  <c r="G75" i="34" s="1"/>
  <c r="N310" i="9"/>
  <c r="AO291" i="9" s="1"/>
  <c r="F75" i="34" s="1"/>
  <c r="M310" i="9"/>
  <c r="AN291" i="9" s="1"/>
  <c r="E75" i="34" s="1"/>
  <c r="L310" i="9"/>
  <c r="AM291" i="9" s="1"/>
  <c r="D75" i="34" s="1"/>
  <c r="K310" i="9"/>
  <c r="AL291" i="9" s="1"/>
  <c r="C75" i="34" s="1"/>
  <c r="J310" i="9"/>
  <c r="AP309" i="9"/>
  <c r="O77" i="34" s="1"/>
  <c r="AO309" i="9"/>
  <c r="AN309" i="9"/>
  <c r="M77" i="34" s="1"/>
  <c r="AM309" i="9"/>
  <c r="L77" i="34" s="1"/>
  <c r="AL309" i="9"/>
  <c r="AK309" i="9"/>
  <c r="J77" i="34" s="1"/>
  <c r="Z309" i="9"/>
  <c r="O309" i="9"/>
  <c r="AP290" i="9" s="1"/>
  <c r="G74" i="34" s="1"/>
  <c r="N309" i="9"/>
  <c r="AO290" i="9" s="1"/>
  <c r="F74" i="34" s="1"/>
  <c r="M309" i="9"/>
  <c r="AN290" i="9" s="1"/>
  <c r="E74" i="34" s="1"/>
  <c r="L309" i="9"/>
  <c r="AM290" i="9" s="1"/>
  <c r="D74" i="34" s="1"/>
  <c r="K309" i="9"/>
  <c r="AL290" i="9" s="1"/>
  <c r="C74" i="34" s="1"/>
  <c r="J309" i="9"/>
  <c r="B74" i="28" s="1"/>
  <c r="AP308" i="9"/>
  <c r="AO308" i="9"/>
  <c r="N76" i="34" s="1"/>
  <c r="AN308" i="9"/>
  <c r="M76" i="34" s="1"/>
  <c r="AM308" i="9"/>
  <c r="L76" i="34" s="1"/>
  <c r="AL308" i="9"/>
  <c r="K76" i="34" s="1"/>
  <c r="AK308" i="9"/>
  <c r="J76" i="34" s="1"/>
  <c r="Z308" i="9"/>
  <c r="AP307" i="9"/>
  <c r="O75" i="34" s="1"/>
  <c r="AO307" i="9"/>
  <c r="N75" i="34" s="1"/>
  <c r="AN307" i="9"/>
  <c r="AM307" i="9"/>
  <c r="L75" i="34" s="1"/>
  <c r="AL307" i="9"/>
  <c r="K75" i="34" s="1"/>
  <c r="AK307" i="9"/>
  <c r="J75" i="34" s="1"/>
  <c r="Z307" i="9"/>
  <c r="AP306" i="9"/>
  <c r="AO306" i="9"/>
  <c r="AN306" i="9"/>
  <c r="AM306" i="9"/>
  <c r="L74" i="34" s="1"/>
  <c r="AL306" i="9"/>
  <c r="K74" i="34" s="1"/>
  <c r="AK306" i="9"/>
  <c r="J74" i="34" s="1"/>
  <c r="Z306" i="9"/>
  <c r="O306" i="9"/>
  <c r="AP287" i="9" s="1"/>
  <c r="G71" i="34" s="1"/>
  <c r="N306" i="9"/>
  <c r="AO287" i="9" s="1"/>
  <c r="F71" i="34" s="1"/>
  <c r="M306" i="9"/>
  <c r="AN287" i="9" s="1"/>
  <c r="E71" i="34" s="1"/>
  <c r="L306" i="9"/>
  <c r="K306" i="9"/>
  <c r="C71" i="28" s="1"/>
  <c r="J306" i="9"/>
  <c r="B71" i="28" s="1"/>
  <c r="Z305" i="9"/>
  <c r="O305" i="9"/>
  <c r="G70" i="28" s="1"/>
  <c r="N305" i="9"/>
  <c r="AO286" i="9" s="1"/>
  <c r="F70" i="34" s="1"/>
  <c r="M305" i="9"/>
  <c r="L305" i="9"/>
  <c r="AM286" i="9" s="1"/>
  <c r="D70" i="34" s="1"/>
  <c r="K305" i="9"/>
  <c r="AL286" i="9" s="1"/>
  <c r="C70" i="34" s="1"/>
  <c r="J305" i="9"/>
  <c r="Z304" i="9"/>
  <c r="O304" i="9"/>
  <c r="N304" i="9"/>
  <c r="AO285" i="9" s="1"/>
  <c r="F69" i="34" s="1"/>
  <c r="M304" i="9"/>
  <c r="E69" i="28" s="1"/>
  <c r="L304" i="9"/>
  <c r="AM285" i="9" s="1"/>
  <c r="K304" i="9"/>
  <c r="AL285" i="9" s="1"/>
  <c r="C69" i="34" s="1"/>
  <c r="J304" i="9"/>
  <c r="Z303" i="9"/>
  <c r="O303" i="9"/>
  <c r="G68" i="28" s="1"/>
  <c r="N303" i="9"/>
  <c r="AO284" i="9" s="1"/>
  <c r="F68" i="34" s="1"/>
  <c r="M303" i="9"/>
  <c r="AN284" i="9" s="1"/>
  <c r="E68" i="34" s="1"/>
  <c r="L303" i="9"/>
  <c r="D68" i="28" s="1"/>
  <c r="K303" i="9"/>
  <c r="J303" i="9"/>
  <c r="AK284" i="9" s="1"/>
  <c r="B68" i="34" s="1"/>
  <c r="O302" i="9"/>
  <c r="AP283" i="9" s="1"/>
  <c r="G67" i="34" s="1"/>
  <c r="N302" i="9"/>
  <c r="AO283" i="9" s="1"/>
  <c r="F67" i="34" s="1"/>
  <c r="M302" i="9"/>
  <c r="AN283" i="9" s="1"/>
  <c r="E67" i="34" s="1"/>
  <c r="L302" i="9"/>
  <c r="D67" i="28" s="1"/>
  <c r="K302" i="9"/>
  <c r="C67" i="28" s="1"/>
  <c r="J302" i="9"/>
  <c r="AK283" i="9" s="1"/>
  <c r="B67" i="34" s="1"/>
  <c r="Z301" i="9"/>
  <c r="Z300" i="9"/>
  <c r="Z299" i="9"/>
  <c r="Z298" i="9"/>
  <c r="Z297" i="9"/>
  <c r="Z296" i="9"/>
  <c r="AP295" i="9"/>
  <c r="G79" i="34" s="1"/>
  <c r="AO295" i="9"/>
  <c r="F79" i="34" s="1"/>
  <c r="AN295" i="9"/>
  <c r="AM295" i="9"/>
  <c r="D79" i="34" s="1"/>
  <c r="AL295" i="9"/>
  <c r="AK295" i="9"/>
  <c r="B79" i="34" s="1"/>
  <c r="Z295" i="9"/>
  <c r="P295" i="9"/>
  <c r="AQ295" i="9" s="1"/>
  <c r="H79" i="34" s="1"/>
  <c r="P294" i="9"/>
  <c r="Z293" i="9"/>
  <c r="P293" i="9"/>
  <c r="AP292" i="9"/>
  <c r="G76" i="34" s="1"/>
  <c r="Z292" i="9"/>
  <c r="P292" i="9"/>
  <c r="Z291" i="9"/>
  <c r="P291" i="9"/>
  <c r="Z290" i="9"/>
  <c r="P290" i="9"/>
  <c r="O289" i="9"/>
  <c r="N289" i="9"/>
  <c r="M289" i="9"/>
  <c r="M297" i="9" s="1"/>
  <c r="L289" i="9"/>
  <c r="L297" i="9" s="1"/>
  <c r="K289" i="9"/>
  <c r="J289" i="9"/>
  <c r="AP288" i="9"/>
  <c r="G72" i="34" s="1"/>
  <c r="AO288" i="9"/>
  <c r="F72" i="34" s="1"/>
  <c r="AN288" i="9"/>
  <c r="E72" i="34" s="1"/>
  <c r="AM288" i="9"/>
  <c r="D72" i="34" s="1"/>
  <c r="AL288" i="9"/>
  <c r="C72" i="34" s="1"/>
  <c r="AK288" i="9"/>
  <c r="B72" i="34" s="1"/>
  <c r="P288" i="9"/>
  <c r="AQ288" i="9" s="1"/>
  <c r="H72" i="34" s="1"/>
  <c r="P287" i="9"/>
  <c r="Z286" i="9"/>
  <c r="P286" i="9"/>
  <c r="Z285" i="9"/>
  <c r="P285" i="9"/>
  <c r="Z284" i="9"/>
  <c r="P284" i="9"/>
  <c r="Z283" i="9"/>
  <c r="P283" i="9"/>
  <c r="O282" i="9"/>
  <c r="N282" i="9"/>
  <c r="M282" i="9"/>
  <c r="L282" i="9"/>
  <c r="K282" i="9"/>
  <c r="J282" i="9"/>
  <c r="AE255" i="9"/>
  <c r="V59" i="34" s="1"/>
  <c r="AD255" i="9"/>
  <c r="U59" i="34" s="1"/>
  <c r="AC255" i="9"/>
  <c r="T59" i="34" s="1"/>
  <c r="AB255" i="9"/>
  <c r="S59" i="34" s="1"/>
  <c r="AA255" i="9"/>
  <c r="AF254" i="9"/>
  <c r="W58" i="34" s="1"/>
  <c r="AE254" i="9"/>
  <c r="V58" i="34" s="1"/>
  <c r="AD254" i="9"/>
  <c r="U58" i="34" s="1"/>
  <c r="AC254" i="9"/>
  <c r="T58" i="34" s="1"/>
  <c r="AB254" i="9"/>
  <c r="S58" i="34" s="1"/>
  <c r="AA254" i="9"/>
  <c r="R58" i="34" s="1"/>
  <c r="AF253" i="9"/>
  <c r="W57" i="34" s="1"/>
  <c r="AE253" i="9"/>
  <c r="AD253" i="9"/>
  <c r="U57" i="34" s="1"/>
  <c r="AC253" i="9"/>
  <c r="T57" i="34" s="1"/>
  <c r="AB253" i="9"/>
  <c r="S57" i="34" s="1"/>
  <c r="AA253" i="9"/>
  <c r="R57" i="34" s="1"/>
  <c r="AF252" i="9"/>
  <c r="W56" i="34" s="1"/>
  <c r="AE252" i="9"/>
  <c r="V56" i="34" s="1"/>
  <c r="AD252" i="9"/>
  <c r="U56" i="34" s="1"/>
  <c r="AC252" i="9"/>
  <c r="AB252" i="9"/>
  <c r="S56" i="34" s="1"/>
  <c r="AA252" i="9"/>
  <c r="R56" i="34" s="1"/>
  <c r="AF251" i="9"/>
  <c r="W55" i="34" s="1"/>
  <c r="AE251" i="9"/>
  <c r="V55" i="34" s="1"/>
  <c r="AD251" i="9"/>
  <c r="U55" i="34" s="1"/>
  <c r="AC251" i="9"/>
  <c r="T55" i="34" s="1"/>
  <c r="AB251" i="9"/>
  <c r="S55" i="34" s="1"/>
  <c r="AA251" i="9"/>
  <c r="AF250" i="9"/>
  <c r="W54" i="34" s="1"/>
  <c r="AE250" i="9"/>
  <c r="V54" i="34" s="1"/>
  <c r="AD250" i="9"/>
  <c r="U54" i="34" s="1"/>
  <c r="AC250" i="9"/>
  <c r="T54" i="34" s="1"/>
  <c r="AB250" i="9"/>
  <c r="S54" i="34" s="1"/>
  <c r="AA250" i="9"/>
  <c r="R54" i="34" s="1"/>
  <c r="AG247" i="9"/>
  <c r="Q247" i="9"/>
  <c r="P247" i="9"/>
  <c r="H36" i="31" s="1"/>
  <c r="AG246" i="9"/>
  <c r="P246" i="9"/>
  <c r="H35" i="31" s="1"/>
  <c r="AG245" i="9"/>
  <c r="P245" i="9"/>
  <c r="H34" i="31" s="1"/>
  <c r="AG244" i="9"/>
  <c r="P244" i="9"/>
  <c r="H33" i="31" s="1"/>
  <c r="AG243" i="9"/>
  <c r="P243" i="9"/>
  <c r="H32" i="31" s="1"/>
  <c r="AG242" i="9"/>
  <c r="P242" i="9"/>
  <c r="H31" i="31" s="1"/>
  <c r="AF241" i="9"/>
  <c r="AE241" i="9"/>
  <c r="AD241" i="9"/>
  <c r="AC241" i="9"/>
  <c r="AB241" i="9"/>
  <c r="AA241" i="9"/>
  <c r="O241" i="9"/>
  <c r="G30" i="31" s="1"/>
  <c r="N241" i="9"/>
  <c r="F30" i="31" s="1"/>
  <c r="M241" i="9"/>
  <c r="E30" i="31" s="1"/>
  <c r="L241" i="9"/>
  <c r="D30" i="31" s="1"/>
  <c r="K241" i="9"/>
  <c r="C30" i="31" s="1"/>
  <c r="J241" i="9"/>
  <c r="AG240" i="9"/>
  <c r="Q240" i="9"/>
  <c r="O240" i="9"/>
  <c r="N240" i="9"/>
  <c r="N255" i="9" s="1"/>
  <c r="M240" i="9"/>
  <c r="M255" i="9" s="1"/>
  <c r="L240" i="9"/>
  <c r="L255" i="9" s="1"/>
  <c r="K240" i="9"/>
  <c r="K255" i="9" s="1"/>
  <c r="J240" i="9"/>
  <c r="AK219" i="9" s="1"/>
  <c r="J59" i="34" s="1"/>
  <c r="AG239" i="9"/>
  <c r="O239" i="9"/>
  <c r="G35" i="32" s="1"/>
  <c r="N239" i="9"/>
  <c r="F35" i="32" s="1"/>
  <c r="M239" i="9"/>
  <c r="L239" i="9"/>
  <c r="D35" i="32" s="1"/>
  <c r="K239" i="9"/>
  <c r="K254" i="9" s="1"/>
  <c r="J239" i="9"/>
  <c r="AK218" i="9" s="1"/>
  <c r="J58" i="34" s="1"/>
  <c r="AG238" i="9"/>
  <c r="O238" i="9"/>
  <c r="N238" i="9"/>
  <c r="N253" i="9" s="1"/>
  <c r="M238" i="9"/>
  <c r="L238" i="9"/>
  <c r="K238" i="9"/>
  <c r="C34" i="32" s="1"/>
  <c r="J238" i="9"/>
  <c r="J253" i="9" s="1"/>
  <c r="AG237" i="9"/>
  <c r="O237" i="9"/>
  <c r="N237" i="9"/>
  <c r="N252" i="9" s="1"/>
  <c r="M237" i="9"/>
  <c r="E33" i="32" s="1"/>
  <c r="L237" i="9"/>
  <c r="AM216" i="9" s="1"/>
  <c r="L56" i="34" s="1"/>
  <c r="K237" i="9"/>
  <c r="J237" i="9"/>
  <c r="J252" i="9" s="1"/>
  <c r="AG236" i="9"/>
  <c r="O236" i="9"/>
  <c r="O251" i="9" s="1"/>
  <c r="N236" i="9"/>
  <c r="M236" i="9"/>
  <c r="L236" i="9"/>
  <c r="L251" i="9" s="1"/>
  <c r="K236" i="9"/>
  <c r="C32" i="32" s="1"/>
  <c r="J236" i="9"/>
  <c r="B32" i="32" s="1"/>
  <c r="AG235" i="9"/>
  <c r="O235" i="9"/>
  <c r="O250" i="9" s="1"/>
  <c r="N235" i="9"/>
  <c r="N250" i="9" s="1"/>
  <c r="M235" i="9"/>
  <c r="L235" i="9"/>
  <c r="K235" i="9"/>
  <c r="C31" i="32" s="1"/>
  <c r="J235" i="9"/>
  <c r="AK214" i="9" s="1"/>
  <c r="J54" i="34" s="1"/>
  <c r="AF234" i="9"/>
  <c r="AE234" i="9"/>
  <c r="AD234" i="9"/>
  <c r="AC234" i="9"/>
  <c r="AB234" i="9"/>
  <c r="AA234" i="9"/>
  <c r="O226" i="9"/>
  <c r="W215" i="9" s="1"/>
  <c r="W240" i="9" s="1"/>
  <c r="N226" i="9"/>
  <c r="M226" i="9"/>
  <c r="U215" i="9" s="1"/>
  <c r="U240" i="9" s="1"/>
  <c r="E52" i="26" s="1"/>
  <c r="L226" i="9"/>
  <c r="T215" i="9" s="1"/>
  <c r="T240" i="9" s="1"/>
  <c r="D52" i="26" s="1"/>
  <c r="K226" i="9"/>
  <c r="K136" i="9" s="1"/>
  <c r="J226" i="9"/>
  <c r="O222" i="9"/>
  <c r="G59" i="28" s="1"/>
  <c r="N222" i="9"/>
  <c r="AO203" i="9" s="1"/>
  <c r="F59" i="34" s="1"/>
  <c r="M222" i="9"/>
  <c r="L222" i="9"/>
  <c r="K222" i="9"/>
  <c r="J222" i="9"/>
  <c r="AK203" i="9" s="1"/>
  <c r="B59" i="34" s="1"/>
  <c r="O221" i="9"/>
  <c r="G58" i="28" s="1"/>
  <c r="N221" i="9"/>
  <c r="AO202" i="9" s="1"/>
  <c r="F58" i="34" s="1"/>
  <c r="M221" i="9"/>
  <c r="E58" i="28" s="1"/>
  <c r="L221" i="9"/>
  <c r="D58" i="28" s="1"/>
  <c r="K221" i="9"/>
  <c r="C58" i="28" s="1"/>
  <c r="J221" i="9"/>
  <c r="B58" i="28" s="1"/>
  <c r="O220" i="9"/>
  <c r="AP201" i="9" s="1"/>
  <c r="G57" i="34" s="1"/>
  <c r="N220" i="9"/>
  <c r="AO201" i="9" s="1"/>
  <c r="F57" i="34" s="1"/>
  <c r="M220" i="9"/>
  <c r="E57" i="28" s="1"/>
  <c r="L220" i="9"/>
  <c r="AM201" i="9" s="1"/>
  <c r="D57" i="34" s="1"/>
  <c r="K220" i="9"/>
  <c r="C57" i="28" s="1"/>
  <c r="J220" i="9"/>
  <c r="AK201" i="9" s="1"/>
  <c r="B57" i="34" s="1"/>
  <c r="O219" i="9"/>
  <c r="AP200" i="9" s="1"/>
  <c r="G56" i="34" s="1"/>
  <c r="N219" i="9"/>
  <c r="AO200" i="9" s="1"/>
  <c r="F56" i="34" s="1"/>
  <c r="M219" i="9"/>
  <c r="L219" i="9"/>
  <c r="D56" i="28" s="1"/>
  <c r="K219" i="9"/>
  <c r="AL200" i="9" s="1"/>
  <c r="C56" i="34" s="1"/>
  <c r="J219" i="9"/>
  <c r="O218" i="9"/>
  <c r="G55" i="28" s="1"/>
  <c r="N218" i="9"/>
  <c r="AO199" i="9" s="1"/>
  <c r="F55" i="34" s="1"/>
  <c r="M218" i="9"/>
  <c r="E55" i="28" s="1"/>
  <c r="L218" i="9"/>
  <c r="AM199" i="9" s="1"/>
  <c r="D55" i="34" s="1"/>
  <c r="K218" i="9"/>
  <c r="AL199" i="9" s="1"/>
  <c r="C55" i="34" s="1"/>
  <c r="J218" i="9"/>
  <c r="AK199" i="9" s="1"/>
  <c r="B55" i="34" s="1"/>
  <c r="O217" i="9"/>
  <c r="AP198" i="9" s="1"/>
  <c r="G54" i="34" s="1"/>
  <c r="N217" i="9"/>
  <c r="AO198" i="9" s="1"/>
  <c r="F54" i="34" s="1"/>
  <c r="M217" i="9"/>
  <c r="E54" i="28" s="1"/>
  <c r="L217" i="9"/>
  <c r="D54" i="28" s="1"/>
  <c r="K217" i="9"/>
  <c r="AL198" i="9" s="1"/>
  <c r="C54" i="34" s="1"/>
  <c r="J217" i="9"/>
  <c r="AK198" i="9" s="1"/>
  <c r="B54" i="34" s="1"/>
  <c r="AO216" i="9"/>
  <c r="O214" i="9"/>
  <c r="G51" i="28" s="1"/>
  <c r="N214" i="9"/>
  <c r="AO195" i="9" s="1"/>
  <c r="F51" i="34" s="1"/>
  <c r="M214" i="9"/>
  <c r="AN195" i="9" s="1"/>
  <c r="E51" i="34" s="1"/>
  <c r="L214" i="9"/>
  <c r="AM195" i="9" s="1"/>
  <c r="D51" i="34" s="1"/>
  <c r="K214" i="9"/>
  <c r="AL195" i="9" s="1"/>
  <c r="C51" i="34" s="1"/>
  <c r="J214" i="9"/>
  <c r="B51" i="28" s="1"/>
  <c r="O213" i="9"/>
  <c r="G50" i="28" s="1"/>
  <c r="N213" i="9"/>
  <c r="AO194" i="9" s="1"/>
  <c r="M213" i="9"/>
  <c r="L213" i="9"/>
  <c r="AM194" i="9" s="1"/>
  <c r="D50" i="34" s="1"/>
  <c r="K213" i="9"/>
  <c r="AL194" i="9" s="1"/>
  <c r="C50" i="34" s="1"/>
  <c r="J213" i="9"/>
  <c r="AK194" i="9" s="1"/>
  <c r="B50" i="34" s="1"/>
  <c r="O212" i="9"/>
  <c r="G49" i="28" s="1"/>
  <c r="N212" i="9"/>
  <c r="AO193" i="9" s="1"/>
  <c r="F49" i="34" s="1"/>
  <c r="M212" i="9"/>
  <c r="E49" i="28" s="1"/>
  <c r="L212" i="9"/>
  <c r="AM193" i="9" s="1"/>
  <c r="D49" i="34" s="1"/>
  <c r="K212" i="9"/>
  <c r="AL193" i="9" s="1"/>
  <c r="C49" i="34" s="1"/>
  <c r="J212" i="9"/>
  <c r="B49" i="28" s="1"/>
  <c r="O211" i="9"/>
  <c r="N211" i="9"/>
  <c r="AO192" i="9" s="1"/>
  <c r="M211" i="9"/>
  <c r="L211" i="9"/>
  <c r="D48" i="28" s="1"/>
  <c r="K211" i="9"/>
  <c r="C48" i="28" s="1"/>
  <c r="J211" i="9"/>
  <c r="AK192" i="9" s="1"/>
  <c r="O210" i="9"/>
  <c r="AP191" i="9" s="1"/>
  <c r="G47" i="34" s="1"/>
  <c r="N210" i="9"/>
  <c r="AO191" i="9" s="1"/>
  <c r="F47" i="34" s="1"/>
  <c r="M210" i="9"/>
  <c r="AN191" i="9" s="1"/>
  <c r="E47" i="34" s="1"/>
  <c r="L210" i="9"/>
  <c r="D47" i="28" s="1"/>
  <c r="K210" i="9"/>
  <c r="C47" i="28" s="1"/>
  <c r="J210" i="9"/>
  <c r="B47" i="28" s="1"/>
  <c r="P203" i="9"/>
  <c r="P202" i="9"/>
  <c r="P201" i="9"/>
  <c r="P200" i="9"/>
  <c r="P199" i="9"/>
  <c r="P198" i="9"/>
  <c r="O197" i="9"/>
  <c r="N197" i="9"/>
  <c r="M197" i="9"/>
  <c r="M205" i="9" s="1"/>
  <c r="L197" i="9"/>
  <c r="L205" i="9" s="1"/>
  <c r="K197" i="9"/>
  <c r="K205" i="9" s="1"/>
  <c r="J197" i="9"/>
  <c r="AP196" i="9"/>
  <c r="G52" i="34" s="1"/>
  <c r="AO196" i="9"/>
  <c r="F52" i="34" s="1"/>
  <c r="AN196" i="9"/>
  <c r="AM196" i="9"/>
  <c r="D52" i="34" s="1"/>
  <c r="AL196" i="9"/>
  <c r="C52" i="34" s="1"/>
  <c r="AK196" i="9"/>
  <c r="B52" i="34" s="1"/>
  <c r="P196" i="9"/>
  <c r="AQ196" i="9" s="1"/>
  <c r="H52" i="34" s="1"/>
  <c r="P195" i="9"/>
  <c r="P194" i="9"/>
  <c r="P193" i="9"/>
  <c r="P192" i="9"/>
  <c r="P191" i="9"/>
  <c r="O190" i="9"/>
  <c r="N190" i="9"/>
  <c r="M190" i="9"/>
  <c r="L190" i="9"/>
  <c r="K190" i="9"/>
  <c r="J190" i="9"/>
  <c r="AE163" i="9"/>
  <c r="V39" i="34" s="1"/>
  <c r="AD163" i="9"/>
  <c r="U39" i="34" s="1"/>
  <c r="AC163" i="9"/>
  <c r="T39" i="34" s="1"/>
  <c r="AB163" i="9"/>
  <c r="AA163" i="9"/>
  <c r="R39" i="34" s="1"/>
  <c r="AF162" i="9"/>
  <c r="W38" i="34" s="1"/>
  <c r="AE162" i="9"/>
  <c r="AD162" i="9"/>
  <c r="U38" i="34" s="1"/>
  <c r="AC162" i="9"/>
  <c r="T38" i="34" s="1"/>
  <c r="AB162" i="9"/>
  <c r="S38" i="34" s="1"/>
  <c r="AA162" i="9"/>
  <c r="R38" i="34" s="1"/>
  <c r="AF161" i="9"/>
  <c r="W37" i="34" s="1"/>
  <c r="AE161" i="9"/>
  <c r="V37" i="34" s="1"/>
  <c r="AD161" i="9"/>
  <c r="U37" i="34" s="1"/>
  <c r="AC161" i="9"/>
  <c r="AB161" i="9"/>
  <c r="S37" i="34" s="1"/>
  <c r="AA161" i="9"/>
  <c r="R37" i="34" s="1"/>
  <c r="AF160" i="9"/>
  <c r="W36" i="34" s="1"/>
  <c r="AE160" i="9"/>
  <c r="V36" i="34" s="1"/>
  <c r="AD160" i="9"/>
  <c r="U36" i="34" s="1"/>
  <c r="AC160" i="9"/>
  <c r="T36" i="34" s="1"/>
  <c r="AB160" i="9"/>
  <c r="S36" i="34" s="1"/>
  <c r="AA160" i="9"/>
  <c r="AF159" i="9"/>
  <c r="W35" i="34" s="1"/>
  <c r="AE159" i="9"/>
  <c r="AD159" i="9"/>
  <c r="U35" i="34" s="1"/>
  <c r="AC159" i="9"/>
  <c r="T35" i="34" s="1"/>
  <c r="AB159" i="9"/>
  <c r="S35" i="34" s="1"/>
  <c r="AA159" i="9"/>
  <c r="R35" i="34" s="1"/>
  <c r="AF158" i="9"/>
  <c r="W34" i="34" s="1"/>
  <c r="AE158" i="9"/>
  <c r="AD158" i="9"/>
  <c r="U34" i="34" s="1"/>
  <c r="AC158" i="9"/>
  <c r="T34" i="34" s="1"/>
  <c r="AB158" i="9"/>
  <c r="S34" i="34" s="1"/>
  <c r="AA158" i="9"/>
  <c r="R34" i="34" s="1"/>
  <c r="AG155" i="9"/>
  <c r="Q155" i="9"/>
  <c r="P155" i="9"/>
  <c r="H24" i="31" s="1"/>
  <c r="AG154" i="9"/>
  <c r="P154" i="9"/>
  <c r="H23" i="31" s="1"/>
  <c r="AG153" i="9"/>
  <c r="P153" i="9"/>
  <c r="H22" i="31" s="1"/>
  <c r="AG152" i="9"/>
  <c r="P152" i="9"/>
  <c r="H21" i="31" s="1"/>
  <c r="AG151" i="9"/>
  <c r="P151" i="9"/>
  <c r="H20" i="31" s="1"/>
  <c r="AG150" i="9"/>
  <c r="P150" i="9"/>
  <c r="H19" i="31" s="1"/>
  <c r="AF149" i="9"/>
  <c r="AE149" i="9"/>
  <c r="AD149" i="9"/>
  <c r="AC149" i="9"/>
  <c r="AB149" i="9"/>
  <c r="AA149" i="9"/>
  <c r="O149" i="9"/>
  <c r="N149" i="9"/>
  <c r="F18" i="31" s="1"/>
  <c r="M149" i="9"/>
  <c r="E18" i="31" s="1"/>
  <c r="L149" i="9"/>
  <c r="D18" i="31" s="1"/>
  <c r="K149" i="9"/>
  <c r="C18" i="31" s="1"/>
  <c r="J149" i="9"/>
  <c r="B18" i="31" s="1"/>
  <c r="AG148" i="9"/>
  <c r="Q148" i="9"/>
  <c r="O148" i="9"/>
  <c r="N148" i="9"/>
  <c r="F24" i="32" s="1"/>
  <c r="M148" i="9"/>
  <c r="M163" i="9" s="1"/>
  <c r="L148" i="9"/>
  <c r="L163" i="9" s="1"/>
  <c r="K148" i="9"/>
  <c r="K163" i="9" s="1"/>
  <c r="J148" i="9"/>
  <c r="B24" i="32" s="1"/>
  <c r="AG147" i="9"/>
  <c r="O147" i="9"/>
  <c r="O162" i="9" s="1"/>
  <c r="N147" i="9"/>
  <c r="N162" i="9" s="1"/>
  <c r="M147" i="9"/>
  <c r="E23" i="32" s="1"/>
  <c r="L147" i="9"/>
  <c r="L162" i="9" s="1"/>
  <c r="K147" i="9"/>
  <c r="K162" i="9" s="1"/>
  <c r="J147" i="9"/>
  <c r="J162" i="9" s="1"/>
  <c r="AG146" i="9"/>
  <c r="O146" i="9"/>
  <c r="O161" i="9" s="1"/>
  <c r="N146" i="9"/>
  <c r="F22" i="32" s="1"/>
  <c r="M146" i="9"/>
  <c r="M161" i="9" s="1"/>
  <c r="L146" i="9"/>
  <c r="D22" i="32" s="1"/>
  <c r="K146" i="9"/>
  <c r="K161" i="9" s="1"/>
  <c r="J146" i="9"/>
  <c r="AK125" i="9" s="1"/>
  <c r="J37" i="34" s="1"/>
  <c r="AG145" i="9"/>
  <c r="O145" i="9"/>
  <c r="G21" i="32" s="1"/>
  <c r="N145" i="9"/>
  <c r="N160" i="9" s="1"/>
  <c r="M145" i="9"/>
  <c r="M160" i="9" s="1"/>
  <c r="L145" i="9"/>
  <c r="L160" i="9" s="1"/>
  <c r="K145" i="9"/>
  <c r="C21" i="32" s="1"/>
  <c r="J145" i="9"/>
  <c r="J160" i="9" s="1"/>
  <c r="AG144" i="9"/>
  <c r="O144" i="9"/>
  <c r="AP123" i="9" s="1"/>
  <c r="O35" i="34" s="1"/>
  <c r="N144" i="9"/>
  <c r="F20" i="32" s="1"/>
  <c r="M144" i="9"/>
  <c r="M159" i="9" s="1"/>
  <c r="L144" i="9"/>
  <c r="D20" i="32" s="1"/>
  <c r="K159" i="9"/>
  <c r="J144" i="9"/>
  <c r="AG143" i="9"/>
  <c r="O143" i="9"/>
  <c r="AP122" i="9" s="1"/>
  <c r="O34" i="34" s="1"/>
  <c r="N143" i="9"/>
  <c r="N158" i="9" s="1"/>
  <c r="M143" i="9"/>
  <c r="E19" i="32" s="1"/>
  <c r="L143" i="9"/>
  <c r="L158" i="9" s="1"/>
  <c r="J143" i="9"/>
  <c r="AK122" i="9" s="1"/>
  <c r="J34" i="34" s="1"/>
  <c r="AF142" i="9"/>
  <c r="AE142" i="9"/>
  <c r="AD142" i="9"/>
  <c r="AC142" i="9"/>
  <c r="AB142" i="9"/>
  <c r="AA142" i="9"/>
  <c r="I139" i="9"/>
  <c r="O134" i="9"/>
  <c r="N134" i="9"/>
  <c r="N44" i="9" s="1"/>
  <c r="M134" i="9"/>
  <c r="M44" i="9" s="1"/>
  <c r="L134" i="9"/>
  <c r="L44" i="9" s="1"/>
  <c r="K134" i="9"/>
  <c r="K44" i="9" s="1"/>
  <c r="J134" i="9"/>
  <c r="O130" i="9"/>
  <c r="G39" i="28" s="1"/>
  <c r="N130" i="9"/>
  <c r="AO111" i="9" s="1"/>
  <c r="F39" i="34" s="1"/>
  <c r="M130" i="9"/>
  <c r="AN111" i="9" s="1"/>
  <c r="E39" i="34" s="1"/>
  <c r="L130" i="9"/>
  <c r="AM111" i="9" s="1"/>
  <c r="D39" i="34" s="1"/>
  <c r="K130" i="9"/>
  <c r="AL111" i="9" s="1"/>
  <c r="C39" i="34" s="1"/>
  <c r="J130" i="9"/>
  <c r="AK111" i="9" s="1"/>
  <c r="B39" i="34" s="1"/>
  <c r="O129" i="9"/>
  <c r="AP110" i="9" s="1"/>
  <c r="G38" i="34" s="1"/>
  <c r="N129" i="9"/>
  <c r="AO110" i="9" s="1"/>
  <c r="F38" i="34" s="1"/>
  <c r="M129" i="9"/>
  <c r="E38" i="28" s="1"/>
  <c r="L129" i="9"/>
  <c r="D38" i="28" s="1"/>
  <c r="K129" i="9"/>
  <c r="C38" i="28" s="1"/>
  <c r="J129" i="9"/>
  <c r="AK110" i="9" s="1"/>
  <c r="B38" i="34" s="1"/>
  <c r="O128" i="9"/>
  <c r="AP109" i="9" s="1"/>
  <c r="G37" i="34" s="1"/>
  <c r="N128" i="9"/>
  <c r="AO109" i="9" s="1"/>
  <c r="F37" i="34" s="1"/>
  <c r="M128" i="9"/>
  <c r="AN109" i="9" s="1"/>
  <c r="E37" i="34" s="1"/>
  <c r="L128" i="9"/>
  <c r="D37" i="28" s="1"/>
  <c r="K128" i="9"/>
  <c r="C37" i="28" s="1"/>
  <c r="J128" i="9"/>
  <c r="AK109" i="9" s="1"/>
  <c r="B37" i="34" s="1"/>
  <c r="O127" i="9"/>
  <c r="G36" i="28" s="1"/>
  <c r="N127" i="9"/>
  <c r="AO108" i="9" s="1"/>
  <c r="F36" i="34" s="1"/>
  <c r="M127" i="9"/>
  <c r="L127" i="9"/>
  <c r="K127" i="9"/>
  <c r="C36" i="28" s="1"/>
  <c r="J127" i="9"/>
  <c r="B36" i="28" s="1"/>
  <c r="O126" i="9"/>
  <c r="AP107" i="9" s="1"/>
  <c r="G35" i="34" s="1"/>
  <c r="N126" i="9"/>
  <c r="AO107" i="9" s="1"/>
  <c r="F35" i="34" s="1"/>
  <c r="M126" i="9"/>
  <c r="L126" i="9"/>
  <c r="AM107" i="9" s="1"/>
  <c r="D35" i="34" s="1"/>
  <c r="K126" i="9"/>
  <c r="AL107" i="9" s="1"/>
  <c r="C35" i="34" s="1"/>
  <c r="J126" i="9"/>
  <c r="B35" i="28" s="1"/>
  <c r="AN125" i="9"/>
  <c r="M37" i="34" s="1"/>
  <c r="O125" i="9"/>
  <c r="AP106" i="9" s="1"/>
  <c r="G34" i="34" s="1"/>
  <c r="N125" i="9"/>
  <c r="F34" i="28" s="1"/>
  <c r="M125" i="9"/>
  <c r="E34" i="28" s="1"/>
  <c r="L125" i="9"/>
  <c r="AM106" i="9" s="1"/>
  <c r="D34" i="34" s="1"/>
  <c r="K125" i="9"/>
  <c r="AL106" i="9" s="1"/>
  <c r="C34" i="34" s="1"/>
  <c r="J125" i="9"/>
  <c r="AK106" i="9" s="1"/>
  <c r="B34" i="34" s="1"/>
  <c r="AL122" i="9"/>
  <c r="K34" i="34" s="1"/>
  <c r="O122" i="9"/>
  <c r="G31" i="28" s="1"/>
  <c r="N122" i="9"/>
  <c r="AO103" i="9" s="1"/>
  <c r="F31" i="34" s="1"/>
  <c r="M122" i="9"/>
  <c r="AN103" i="9" s="1"/>
  <c r="E31" i="34" s="1"/>
  <c r="L122" i="9"/>
  <c r="AM103" i="9" s="1"/>
  <c r="D31" i="34" s="1"/>
  <c r="K122" i="9"/>
  <c r="AL103" i="9" s="1"/>
  <c r="C31" i="34" s="1"/>
  <c r="J122" i="9"/>
  <c r="B31" i="28" s="1"/>
  <c r="O121" i="9"/>
  <c r="G30" i="28" s="1"/>
  <c r="N121" i="9"/>
  <c r="AO102" i="9" s="1"/>
  <c r="F30" i="34" s="1"/>
  <c r="M121" i="9"/>
  <c r="E30" i="28" s="1"/>
  <c r="L121" i="9"/>
  <c r="AM102" i="9" s="1"/>
  <c r="D30" i="34" s="1"/>
  <c r="K121" i="9"/>
  <c r="J121" i="9"/>
  <c r="B30" i="28" s="1"/>
  <c r="O120" i="9"/>
  <c r="G29" i="28" s="1"/>
  <c r="N120" i="9"/>
  <c r="AO101" i="9" s="1"/>
  <c r="F29" i="34" s="1"/>
  <c r="M120" i="9"/>
  <c r="AN101" i="9" s="1"/>
  <c r="E29" i="34" s="1"/>
  <c r="L120" i="9"/>
  <c r="K120" i="9"/>
  <c r="C29" i="28" s="1"/>
  <c r="J120" i="9"/>
  <c r="AK101" i="9" s="1"/>
  <c r="B29" i="34" s="1"/>
  <c r="O119" i="9"/>
  <c r="N119" i="9"/>
  <c r="AO100" i="9" s="1"/>
  <c r="F28" i="34" s="1"/>
  <c r="M119" i="9"/>
  <c r="AN100" i="9" s="1"/>
  <c r="E28" i="34" s="1"/>
  <c r="L119" i="9"/>
  <c r="AM100" i="9" s="1"/>
  <c r="D28" i="34" s="1"/>
  <c r="K119" i="9"/>
  <c r="C28" i="28" s="1"/>
  <c r="J119" i="9"/>
  <c r="B28" i="28" s="1"/>
  <c r="O118" i="9"/>
  <c r="G27" i="28" s="1"/>
  <c r="N118" i="9"/>
  <c r="M118" i="9"/>
  <c r="AN99" i="9" s="1"/>
  <c r="E27" i="34" s="1"/>
  <c r="L118" i="9"/>
  <c r="AM99" i="9" s="1"/>
  <c r="D27" i="34" s="1"/>
  <c r="K118" i="9"/>
  <c r="AL99" i="9" s="1"/>
  <c r="C27" i="34" s="1"/>
  <c r="J118" i="9"/>
  <c r="P111" i="9"/>
  <c r="P110" i="9"/>
  <c r="P109" i="9"/>
  <c r="P108" i="9"/>
  <c r="P107" i="9"/>
  <c r="P106" i="9"/>
  <c r="O105" i="9"/>
  <c r="N105" i="9"/>
  <c r="N113" i="9" s="1"/>
  <c r="M105" i="9"/>
  <c r="L105" i="9"/>
  <c r="K105" i="9"/>
  <c r="J105" i="9"/>
  <c r="AP104" i="9"/>
  <c r="G32" i="34" s="1"/>
  <c r="AO104" i="9"/>
  <c r="F32" i="34" s="1"/>
  <c r="AN104" i="9"/>
  <c r="E32" i="34" s="1"/>
  <c r="AM104" i="9"/>
  <c r="D32" i="34" s="1"/>
  <c r="AL104" i="9"/>
  <c r="C32" i="34" s="1"/>
  <c r="AK104" i="9"/>
  <c r="B32" i="34" s="1"/>
  <c r="P104" i="9"/>
  <c r="AQ104" i="9" s="1"/>
  <c r="H32" i="34" s="1"/>
  <c r="P103" i="9"/>
  <c r="P102" i="9"/>
  <c r="P101" i="9"/>
  <c r="P100" i="9"/>
  <c r="P99" i="9"/>
  <c r="O98" i="9"/>
  <c r="N98" i="9"/>
  <c r="M98" i="9"/>
  <c r="L98" i="9"/>
  <c r="K98" i="9"/>
  <c r="J98" i="9"/>
  <c r="AA123" i="6"/>
  <c r="V123" i="6"/>
  <c r="U123" i="6"/>
  <c r="R123" i="6"/>
  <c r="N123" i="6"/>
  <c r="M123" i="6"/>
  <c r="X122" i="6"/>
  <c r="W122" i="6"/>
  <c r="P122" i="6"/>
  <c r="O122" i="6"/>
  <c r="I115" i="6"/>
  <c r="C115" i="6" s="1"/>
  <c r="I114" i="6"/>
  <c r="C114" i="6" s="1"/>
  <c r="I113" i="6"/>
  <c r="C113" i="6" s="1"/>
  <c r="I112" i="6"/>
  <c r="C112" i="6" s="1"/>
  <c r="I111" i="6"/>
  <c r="C111" i="6" s="1"/>
  <c r="J110" i="6"/>
  <c r="J111" i="6" s="1"/>
  <c r="J112" i="6" s="1"/>
  <c r="J113" i="6" s="1"/>
  <c r="J114" i="6" s="1"/>
  <c r="J115" i="6" s="1"/>
  <c r="I110" i="6"/>
  <c r="C110" i="6" s="1"/>
  <c r="I109" i="6"/>
  <c r="C109" i="6" s="1"/>
  <c r="AA108" i="6"/>
  <c r="Z108" i="6"/>
  <c r="Y108" i="6"/>
  <c r="A106" i="6"/>
  <c r="G115" i="6" s="1"/>
  <c r="A115" i="6" s="1"/>
  <c r="A105" i="6"/>
  <c r="K114" i="6" s="1"/>
  <c r="T96" i="6"/>
  <c r="S96" i="6"/>
  <c r="R96" i="6"/>
  <c r="Q96" i="6"/>
  <c r="P96" i="6"/>
  <c r="O96" i="6"/>
  <c r="N96" i="6"/>
  <c r="M96" i="6"/>
  <c r="L96" i="6"/>
  <c r="I96" i="6"/>
  <c r="H96" i="6"/>
  <c r="G96" i="6"/>
  <c r="F96" i="6"/>
  <c r="T95" i="6"/>
  <c r="S95" i="6"/>
  <c r="R95" i="6"/>
  <c r="Q95" i="6"/>
  <c r="P95" i="6"/>
  <c r="O95" i="6"/>
  <c r="N95" i="6"/>
  <c r="M95" i="6"/>
  <c r="L95" i="6"/>
  <c r="I95" i="6"/>
  <c r="H95" i="6"/>
  <c r="G95" i="6"/>
  <c r="F95" i="6"/>
  <c r="A92" i="6"/>
  <c r="G113" i="6" s="1"/>
  <c r="A113" i="6" s="1"/>
  <c r="A91" i="6"/>
  <c r="K112" i="6" s="1"/>
  <c r="A90" i="6"/>
  <c r="G111" i="6" s="1"/>
  <c r="A111" i="6" s="1"/>
  <c r="A89" i="6"/>
  <c r="K110" i="6" s="1"/>
  <c r="A88" i="6"/>
  <c r="G109" i="6" s="1"/>
  <c r="A109" i="6" s="1"/>
  <c r="X87" i="6"/>
  <c r="X108" i="6" s="1"/>
  <c r="W87" i="6"/>
  <c r="W108" i="6" s="1"/>
  <c r="V87" i="6"/>
  <c r="V108" i="6" s="1"/>
  <c r="U87" i="6"/>
  <c r="U108" i="6" s="1"/>
  <c r="T87" i="6"/>
  <c r="T108" i="6" s="1"/>
  <c r="S87" i="6"/>
  <c r="S108" i="6" s="1"/>
  <c r="R87" i="6"/>
  <c r="R108" i="6" s="1"/>
  <c r="Q87" i="6"/>
  <c r="Q108" i="6" s="1"/>
  <c r="P87" i="6"/>
  <c r="P108" i="6" s="1"/>
  <c r="O87" i="6"/>
  <c r="O108" i="6" s="1"/>
  <c r="N87" i="6"/>
  <c r="N108" i="6" s="1"/>
  <c r="M87" i="6"/>
  <c r="M108" i="6" s="1"/>
  <c r="L87" i="6"/>
  <c r="L108" i="6" s="1"/>
  <c r="K87" i="6"/>
  <c r="J87" i="6"/>
  <c r="I87" i="6"/>
  <c r="H87" i="6"/>
  <c r="G87" i="6"/>
  <c r="F87" i="6"/>
  <c r="E87" i="6"/>
  <c r="D87" i="6"/>
  <c r="T83" i="6"/>
  <c r="K10" i="27" s="1"/>
  <c r="P83" i="6"/>
  <c r="G10" i="27" s="1"/>
  <c r="O83" i="6"/>
  <c r="O92" i="6" s="1"/>
  <c r="F16" i="27" s="1"/>
  <c r="U34" i="4" s="1"/>
  <c r="N82" i="6"/>
  <c r="E8" i="27" s="1"/>
  <c r="M82" i="6"/>
  <c r="D8" i="27" s="1"/>
  <c r="L82" i="6"/>
  <c r="C8" i="27" s="1"/>
  <c r="AA71" i="6"/>
  <c r="Z71" i="6"/>
  <c r="Y71" i="6"/>
  <c r="X71" i="6"/>
  <c r="W71" i="6"/>
  <c r="V71" i="6"/>
  <c r="U71" i="6"/>
  <c r="T71" i="6"/>
  <c r="S71" i="6"/>
  <c r="R71" i="6"/>
  <c r="Q71" i="6"/>
  <c r="P71" i="6"/>
  <c r="O71" i="6"/>
  <c r="N71" i="6"/>
  <c r="M71" i="6"/>
  <c r="L71" i="6"/>
  <c r="K71" i="6"/>
  <c r="J71" i="6"/>
  <c r="I71" i="6"/>
  <c r="H71" i="6"/>
  <c r="G71" i="6"/>
  <c r="F71" i="6"/>
  <c r="A70" i="6"/>
  <c r="A69" i="6"/>
  <c r="A84" i="6" s="1"/>
  <c r="A68" i="6"/>
  <c r="A67" i="6"/>
  <c r="A83" i="6" s="1"/>
  <c r="A66" i="6"/>
  <c r="A82" i="6" s="1"/>
  <c r="A64" i="6"/>
  <c r="A63" i="6"/>
  <c r="AB61" i="6"/>
  <c r="AA61" i="6"/>
  <c r="Z61" i="6"/>
  <c r="Y61" i="6"/>
  <c r="X61" i="6"/>
  <c r="W61" i="6"/>
  <c r="V61" i="6"/>
  <c r="U61" i="6"/>
  <c r="T59" i="6"/>
  <c r="S59" i="6"/>
  <c r="R59" i="6"/>
  <c r="Q59" i="6"/>
  <c r="P59" i="6"/>
  <c r="O59" i="6"/>
  <c r="N59" i="6"/>
  <c r="M59" i="6"/>
  <c r="L59" i="6"/>
  <c r="K59" i="6"/>
  <c r="A59" i="6"/>
  <c r="A58" i="6"/>
  <c r="G59" i="6"/>
  <c r="F59" i="6"/>
  <c r="S58" i="6"/>
  <c r="R58" i="6"/>
  <c r="R61" i="6" s="1"/>
  <c r="Q58" i="6"/>
  <c r="Q61" i="6" s="1"/>
  <c r="O58" i="6"/>
  <c r="M58" i="6"/>
  <c r="L58" i="6"/>
  <c r="H83" i="6"/>
  <c r="G83" i="6"/>
  <c r="AB55" i="6"/>
  <c r="AA55" i="6"/>
  <c r="Z55" i="6"/>
  <c r="Y55" i="6"/>
  <c r="P5" i="27" s="1"/>
  <c r="X55" i="6"/>
  <c r="O5" i="27" s="1"/>
  <c r="W55" i="6"/>
  <c r="N5" i="27" s="1"/>
  <c r="V55" i="6"/>
  <c r="V82" i="6" s="1"/>
  <c r="M8" i="27" s="1"/>
  <c r="U55" i="6"/>
  <c r="U82" i="6" s="1"/>
  <c r="L8" i="27" s="1"/>
  <c r="J55" i="6"/>
  <c r="A55" i="6"/>
  <c r="AG54" i="6"/>
  <c r="AB54" i="6"/>
  <c r="AA54" i="6"/>
  <c r="Z54" i="6"/>
  <c r="Q4" i="27" s="1"/>
  <c r="Y54" i="6"/>
  <c r="P4" i="27" s="1"/>
  <c r="X54" i="6"/>
  <c r="X83" i="6" s="1"/>
  <c r="O10" i="27" s="1"/>
  <c r="W54" i="6"/>
  <c r="W83" i="6" s="1"/>
  <c r="N10" i="27" s="1"/>
  <c r="V54" i="6"/>
  <c r="V83" i="6" s="1"/>
  <c r="V92" i="6" s="1"/>
  <c r="U54" i="6"/>
  <c r="A54" i="6"/>
  <c r="B52" i="6"/>
  <c r="J52" i="6"/>
  <c r="I52" i="6"/>
  <c r="H52" i="6"/>
  <c r="G52" i="6"/>
  <c r="F52" i="6"/>
  <c r="E52" i="6"/>
  <c r="D52" i="6"/>
  <c r="C52" i="6"/>
  <c r="I46" i="6"/>
  <c r="H46" i="6"/>
  <c r="G46" i="6"/>
  <c r="F46" i="6"/>
  <c r="E46" i="6"/>
  <c r="D46" i="6"/>
  <c r="I45" i="6"/>
  <c r="H45" i="6"/>
  <c r="G45" i="6"/>
  <c r="F45" i="6"/>
  <c r="E45" i="6"/>
  <c r="D45" i="6"/>
  <c r="I44" i="6"/>
  <c r="H44" i="6"/>
  <c r="G44" i="6"/>
  <c r="F44" i="6"/>
  <c r="E44" i="6"/>
  <c r="D42" i="6"/>
  <c r="D44" i="6" s="1"/>
  <c r="V36" i="6"/>
  <c r="V37" i="6" s="1"/>
  <c r="U36" i="6"/>
  <c r="U37" i="6" s="1"/>
  <c r="S51" i="6"/>
  <c r="S52" i="6" s="1"/>
  <c r="R51" i="6"/>
  <c r="R52" i="6" s="1"/>
  <c r="Q51" i="6"/>
  <c r="Q52" i="6" s="1"/>
  <c r="P51" i="6"/>
  <c r="P52" i="6" s="1"/>
  <c r="O36" i="6"/>
  <c r="O37" i="6" s="1"/>
  <c r="N36" i="6"/>
  <c r="N37" i="6" s="1"/>
  <c r="M36" i="6"/>
  <c r="M37" i="6" s="1"/>
  <c r="K51" i="6"/>
  <c r="K52" i="6" s="1"/>
  <c r="AB4" i="6"/>
  <c r="O203" i="34"/>
  <c r="K203" i="34"/>
  <c r="J203" i="34"/>
  <c r="O202" i="34"/>
  <c r="N202" i="34"/>
  <c r="L202" i="34"/>
  <c r="G202" i="34"/>
  <c r="E202" i="34"/>
  <c r="M201" i="34"/>
  <c r="L201" i="34"/>
  <c r="N200" i="34"/>
  <c r="O199" i="34"/>
  <c r="N199" i="34"/>
  <c r="K199" i="34"/>
  <c r="D199" i="34"/>
  <c r="E197" i="34"/>
  <c r="D197" i="34"/>
  <c r="B197" i="34"/>
  <c r="O187" i="34"/>
  <c r="L187" i="34"/>
  <c r="F187" i="34"/>
  <c r="N186" i="34"/>
  <c r="N185" i="34"/>
  <c r="K185" i="34"/>
  <c r="N184" i="34"/>
  <c r="M184" i="34"/>
  <c r="K184" i="34"/>
  <c r="M183" i="34"/>
  <c r="K183" i="34"/>
  <c r="J183" i="34"/>
  <c r="G183" i="34"/>
  <c r="G181" i="34"/>
  <c r="E180" i="34"/>
  <c r="F178" i="34"/>
  <c r="E177" i="34"/>
  <c r="M171" i="34"/>
  <c r="L171" i="34"/>
  <c r="O170" i="34"/>
  <c r="L170" i="34"/>
  <c r="J170" i="34"/>
  <c r="C170" i="34"/>
  <c r="O169" i="34"/>
  <c r="L168" i="34"/>
  <c r="C168" i="34"/>
  <c r="K167" i="34"/>
  <c r="C161" i="34"/>
  <c r="F155" i="34"/>
  <c r="M154" i="34"/>
  <c r="K153" i="34"/>
  <c r="J153" i="34"/>
  <c r="O152" i="34"/>
  <c r="L151" i="34"/>
  <c r="J151" i="34"/>
  <c r="C151" i="34"/>
  <c r="F149" i="34"/>
  <c r="O137" i="34"/>
  <c r="J137" i="34"/>
  <c r="O136" i="34"/>
  <c r="N136" i="34"/>
  <c r="M136" i="34"/>
  <c r="L136" i="34"/>
  <c r="F136" i="34"/>
  <c r="L135" i="34"/>
  <c r="B135" i="34"/>
  <c r="O134" i="34"/>
  <c r="N134" i="34"/>
  <c r="K134" i="34"/>
  <c r="N133" i="34"/>
  <c r="K133" i="34"/>
  <c r="E131" i="34"/>
  <c r="B131" i="34"/>
  <c r="D130" i="34"/>
  <c r="F128" i="34"/>
  <c r="B128" i="34"/>
  <c r="P119" i="34"/>
  <c r="M119" i="34"/>
  <c r="E119" i="34"/>
  <c r="C119" i="34"/>
  <c r="M118" i="34"/>
  <c r="J117" i="34"/>
  <c r="G117" i="34"/>
  <c r="O116" i="34"/>
  <c r="N116" i="34"/>
  <c r="D116" i="34"/>
  <c r="N115" i="34"/>
  <c r="M115" i="34"/>
  <c r="M114" i="34"/>
  <c r="L114" i="34"/>
  <c r="G114" i="34"/>
  <c r="E112" i="34"/>
  <c r="B112" i="34"/>
  <c r="F110" i="34"/>
  <c r="G109" i="34"/>
  <c r="B99" i="34"/>
  <c r="N97" i="34"/>
  <c r="K97" i="34"/>
  <c r="J97" i="34"/>
  <c r="N94" i="34"/>
  <c r="E92" i="34"/>
  <c r="B92" i="34"/>
  <c r="E79" i="34"/>
  <c r="C79" i="34"/>
  <c r="N77" i="34"/>
  <c r="K77" i="34"/>
  <c r="O76" i="34"/>
  <c r="M75" i="34"/>
  <c r="O74" i="34"/>
  <c r="N74" i="34"/>
  <c r="M74" i="34"/>
  <c r="D69" i="34"/>
  <c r="W59" i="34"/>
  <c r="R59" i="34"/>
  <c r="V57" i="34"/>
  <c r="T56" i="34"/>
  <c r="N56" i="34"/>
  <c r="R55" i="34"/>
  <c r="E52" i="34"/>
  <c r="F50" i="34"/>
  <c r="F48" i="34"/>
  <c r="B48" i="34"/>
  <c r="W39" i="34"/>
  <c r="S39" i="34"/>
  <c r="V38" i="34"/>
  <c r="T37" i="34"/>
  <c r="R36" i="34"/>
  <c r="V35" i="34"/>
  <c r="V34" i="34"/>
  <c r="K5" i="27"/>
  <c r="J5" i="27"/>
  <c r="I5" i="27"/>
  <c r="H5" i="27"/>
  <c r="G5" i="27"/>
  <c r="F5" i="27"/>
  <c r="E5" i="27"/>
  <c r="D5" i="27"/>
  <c r="C5" i="27"/>
  <c r="B5" i="27"/>
  <c r="K4" i="27"/>
  <c r="J4" i="27"/>
  <c r="I4" i="27"/>
  <c r="H4" i="27"/>
  <c r="G4" i="27"/>
  <c r="F4" i="27"/>
  <c r="E4" i="27"/>
  <c r="D4" i="27"/>
  <c r="C4" i="27"/>
  <c r="B4" i="27"/>
  <c r="R3" i="27"/>
  <c r="Q3" i="27"/>
  <c r="P3" i="27"/>
  <c r="O3" i="27"/>
  <c r="N3" i="27"/>
  <c r="M3" i="27"/>
  <c r="L3" i="27"/>
  <c r="K3" i="27"/>
  <c r="J3" i="27"/>
  <c r="I3" i="27"/>
  <c r="H3" i="27"/>
  <c r="G3" i="27"/>
  <c r="F3" i="27"/>
  <c r="E3" i="27"/>
  <c r="D3" i="27"/>
  <c r="C3" i="27"/>
  <c r="B3" i="27"/>
  <c r="G121" i="32"/>
  <c r="F121" i="32"/>
  <c r="E121" i="32"/>
  <c r="D121" i="32"/>
  <c r="C121" i="32"/>
  <c r="B121" i="32"/>
  <c r="G120" i="32"/>
  <c r="F120" i="32"/>
  <c r="E120" i="32"/>
  <c r="D120" i="32"/>
  <c r="C120" i="32"/>
  <c r="B120" i="32"/>
  <c r="G119" i="32"/>
  <c r="F119" i="32"/>
  <c r="E119" i="32"/>
  <c r="D119" i="32"/>
  <c r="C119" i="32"/>
  <c r="B119" i="32"/>
  <c r="H118" i="32"/>
  <c r="G118" i="32"/>
  <c r="F118" i="32"/>
  <c r="E118" i="32"/>
  <c r="D118" i="32"/>
  <c r="C118" i="32"/>
  <c r="B118" i="32"/>
  <c r="G117" i="32"/>
  <c r="F117" i="32"/>
  <c r="E117" i="32"/>
  <c r="D117" i="32"/>
  <c r="C117" i="32"/>
  <c r="B117" i="32"/>
  <c r="D116" i="32"/>
  <c r="C116" i="32"/>
  <c r="B116" i="32"/>
  <c r="H112" i="32"/>
  <c r="G112" i="32"/>
  <c r="F112" i="32"/>
  <c r="E112" i="32"/>
  <c r="D112" i="32"/>
  <c r="C112" i="32"/>
  <c r="B112" i="32"/>
  <c r="G111" i="32"/>
  <c r="F111" i="32"/>
  <c r="E111" i="32"/>
  <c r="D111" i="32"/>
  <c r="C111" i="32"/>
  <c r="B111" i="32"/>
  <c r="G110" i="32"/>
  <c r="F110" i="32"/>
  <c r="E110" i="32"/>
  <c r="D110" i="32"/>
  <c r="C110" i="32"/>
  <c r="B110" i="32"/>
  <c r="H109" i="32"/>
  <c r="G109" i="32"/>
  <c r="F109" i="32"/>
  <c r="E109" i="32"/>
  <c r="D109" i="32"/>
  <c r="C109" i="32"/>
  <c r="B109" i="32"/>
  <c r="H108" i="32"/>
  <c r="G108" i="32"/>
  <c r="F108" i="32"/>
  <c r="E108" i="32"/>
  <c r="D108" i="32"/>
  <c r="C108" i="32"/>
  <c r="B108" i="32"/>
  <c r="F107" i="32"/>
  <c r="C107" i="32"/>
  <c r="G103" i="32"/>
  <c r="F103" i="32"/>
  <c r="E103" i="32"/>
  <c r="D103" i="32"/>
  <c r="C103" i="32"/>
  <c r="B103" i="32"/>
  <c r="H102" i="32"/>
  <c r="G102" i="32"/>
  <c r="F102" i="32"/>
  <c r="E102" i="32"/>
  <c r="D102" i="32"/>
  <c r="C102" i="32"/>
  <c r="B102" i="32"/>
  <c r="G101" i="32"/>
  <c r="F101" i="32"/>
  <c r="E101" i="32"/>
  <c r="D101" i="32"/>
  <c r="C101" i="32"/>
  <c r="B101" i="32"/>
  <c r="G100" i="32"/>
  <c r="F100" i="32"/>
  <c r="E100" i="32"/>
  <c r="D100" i="32"/>
  <c r="C100" i="32"/>
  <c r="B100" i="32"/>
  <c r="H99" i="32"/>
  <c r="G99" i="32"/>
  <c r="F99" i="32"/>
  <c r="E99" i="32"/>
  <c r="D99" i="32"/>
  <c r="C99" i="32"/>
  <c r="B99" i="32"/>
  <c r="G98" i="32"/>
  <c r="G94" i="32"/>
  <c r="F94" i="32"/>
  <c r="E94" i="32"/>
  <c r="D94" i="32"/>
  <c r="C94" i="32"/>
  <c r="B94" i="32"/>
  <c r="G93" i="32"/>
  <c r="F93" i="32"/>
  <c r="E93" i="32"/>
  <c r="D93" i="32"/>
  <c r="C93" i="32"/>
  <c r="B93" i="32"/>
  <c r="G92" i="32"/>
  <c r="F92" i="32"/>
  <c r="E92" i="32"/>
  <c r="D92" i="32"/>
  <c r="C92" i="32"/>
  <c r="B92" i="32"/>
  <c r="G91" i="32"/>
  <c r="F91" i="32"/>
  <c r="E91" i="32"/>
  <c r="D91" i="32"/>
  <c r="C91" i="32"/>
  <c r="B91" i="32"/>
  <c r="H90" i="32"/>
  <c r="G90" i="32"/>
  <c r="F90" i="32"/>
  <c r="E90" i="32"/>
  <c r="D90" i="32"/>
  <c r="C90" i="32"/>
  <c r="B90" i="32"/>
  <c r="D89" i="32"/>
  <c r="B89" i="32"/>
  <c r="G83" i="32"/>
  <c r="F83" i="32"/>
  <c r="E83" i="32"/>
  <c r="D83" i="32"/>
  <c r="C83" i="32"/>
  <c r="B83" i="32"/>
  <c r="G82" i="32"/>
  <c r="F82" i="32"/>
  <c r="E82" i="32"/>
  <c r="D82" i="32"/>
  <c r="C82" i="32"/>
  <c r="B82" i="32"/>
  <c r="H81" i="32"/>
  <c r="G81" i="32"/>
  <c r="F81" i="32"/>
  <c r="E81" i="32"/>
  <c r="D81" i="32"/>
  <c r="C81" i="32"/>
  <c r="B81" i="32"/>
  <c r="G80" i="32"/>
  <c r="F80" i="32"/>
  <c r="E80" i="32"/>
  <c r="D80" i="32"/>
  <c r="C80" i="32"/>
  <c r="B80" i="32"/>
  <c r="G79" i="32"/>
  <c r="F79" i="32"/>
  <c r="E79" i="32"/>
  <c r="D79" i="32"/>
  <c r="C79" i="32"/>
  <c r="B79" i="32"/>
  <c r="E78" i="32"/>
  <c r="C78" i="32"/>
  <c r="B78" i="32"/>
  <c r="H72" i="32"/>
  <c r="G72" i="32"/>
  <c r="F72" i="32"/>
  <c r="E72" i="32"/>
  <c r="D72" i="32"/>
  <c r="C72" i="32"/>
  <c r="B72" i="32"/>
  <c r="G71" i="32"/>
  <c r="F71" i="32"/>
  <c r="E71" i="32"/>
  <c r="D71" i="32"/>
  <c r="C71" i="32"/>
  <c r="B71" i="32"/>
  <c r="H70" i="32"/>
  <c r="G70" i="32"/>
  <c r="F70" i="32"/>
  <c r="E70" i="32"/>
  <c r="D70" i="32"/>
  <c r="C70" i="32"/>
  <c r="B70" i="32"/>
  <c r="G69" i="32"/>
  <c r="F69" i="32"/>
  <c r="E69" i="32"/>
  <c r="D69" i="32"/>
  <c r="C69" i="32"/>
  <c r="B69" i="32"/>
  <c r="G68" i="32"/>
  <c r="F68" i="32"/>
  <c r="E68" i="32"/>
  <c r="D68" i="32"/>
  <c r="C68" i="32"/>
  <c r="B68" i="32"/>
  <c r="G67" i="32"/>
  <c r="F67" i="32"/>
  <c r="E67" i="32"/>
  <c r="D67" i="32"/>
  <c r="C67" i="32"/>
  <c r="B67" i="32"/>
  <c r="F66" i="32"/>
  <c r="B66" i="32"/>
  <c r="H60" i="32"/>
  <c r="G60" i="32"/>
  <c r="F60" i="32"/>
  <c r="E60" i="32"/>
  <c r="D60" i="32"/>
  <c r="C60" i="32"/>
  <c r="B60" i="32"/>
  <c r="G59" i="32"/>
  <c r="F59" i="32"/>
  <c r="E59" i="32"/>
  <c r="D59" i="32"/>
  <c r="C59" i="32"/>
  <c r="B59" i="32"/>
  <c r="G58" i="32"/>
  <c r="F58" i="32"/>
  <c r="E58" i="32"/>
  <c r="D58" i="32"/>
  <c r="C58" i="32"/>
  <c r="B58" i="32"/>
  <c r="G57" i="32"/>
  <c r="F57" i="32"/>
  <c r="E57" i="32"/>
  <c r="D57" i="32"/>
  <c r="C57" i="32"/>
  <c r="B57" i="32"/>
  <c r="G56" i="32"/>
  <c r="F56" i="32"/>
  <c r="E56" i="32"/>
  <c r="D56" i="32"/>
  <c r="C56" i="32"/>
  <c r="B56" i="32"/>
  <c r="G55" i="32"/>
  <c r="F55" i="32"/>
  <c r="E55" i="32"/>
  <c r="D55" i="32"/>
  <c r="C55" i="32"/>
  <c r="B55" i="32"/>
  <c r="C54" i="32"/>
  <c r="G48" i="32"/>
  <c r="F48" i="32"/>
  <c r="E48" i="32"/>
  <c r="D48" i="32"/>
  <c r="C48" i="32"/>
  <c r="B48" i="32"/>
  <c r="G47" i="32"/>
  <c r="F47" i="32"/>
  <c r="E47" i="32"/>
  <c r="D47" i="32"/>
  <c r="C47" i="32"/>
  <c r="B47" i="32"/>
  <c r="G46" i="32"/>
  <c r="F46" i="32"/>
  <c r="E46" i="32"/>
  <c r="D46" i="32"/>
  <c r="C46" i="32"/>
  <c r="B46" i="32"/>
  <c r="G45" i="32"/>
  <c r="F45" i="32"/>
  <c r="E45" i="32"/>
  <c r="D45" i="32"/>
  <c r="C45" i="32"/>
  <c r="B45" i="32"/>
  <c r="H44" i="32"/>
  <c r="G44" i="32"/>
  <c r="F44" i="32"/>
  <c r="E44" i="32"/>
  <c r="D44" i="32"/>
  <c r="C44" i="32"/>
  <c r="B44" i="32"/>
  <c r="G43" i="32"/>
  <c r="F43" i="32"/>
  <c r="E43" i="32"/>
  <c r="D43" i="32"/>
  <c r="C43" i="32"/>
  <c r="B43" i="32"/>
  <c r="G36" i="32"/>
  <c r="D36" i="32"/>
  <c r="G34" i="32"/>
  <c r="F33" i="32"/>
  <c r="E32" i="32"/>
  <c r="D31" i="32"/>
  <c r="G24" i="32"/>
  <c r="F23" i="32"/>
  <c r="C23" i="32"/>
  <c r="E22" i="32"/>
  <c r="D21" i="32"/>
  <c r="C20" i="32"/>
  <c r="G19" i="32"/>
  <c r="B19" i="32"/>
  <c r="G121" i="31"/>
  <c r="F121" i="31"/>
  <c r="E121" i="31"/>
  <c r="D121" i="31"/>
  <c r="C121" i="31"/>
  <c r="B121" i="31"/>
  <c r="H120" i="31"/>
  <c r="G120" i="31"/>
  <c r="F120" i="31"/>
  <c r="E120" i="31"/>
  <c r="D120" i="31"/>
  <c r="C120" i="31"/>
  <c r="B120" i="31"/>
  <c r="G119" i="31"/>
  <c r="F119" i="31"/>
  <c r="E119" i="31"/>
  <c r="D119" i="31"/>
  <c r="C119" i="31"/>
  <c r="B119" i="31"/>
  <c r="H118" i="31"/>
  <c r="G118" i="31"/>
  <c r="F118" i="31"/>
  <c r="E118" i="31"/>
  <c r="D118" i="31"/>
  <c r="C118" i="31"/>
  <c r="B118" i="31"/>
  <c r="G117" i="31"/>
  <c r="F117" i="31"/>
  <c r="E117" i="31"/>
  <c r="D117" i="31"/>
  <c r="C117" i="31"/>
  <c r="B117" i="31"/>
  <c r="G116" i="31"/>
  <c r="B116" i="31"/>
  <c r="G112" i="31"/>
  <c r="F112" i="31"/>
  <c r="E112" i="31"/>
  <c r="D112" i="31"/>
  <c r="C112" i="31"/>
  <c r="B112" i="31"/>
  <c r="G111" i="31"/>
  <c r="F111" i="31"/>
  <c r="E111" i="31"/>
  <c r="D111" i="31"/>
  <c r="C111" i="31"/>
  <c r="B111" i="31"/>
  <c r="H110" i="31"/>
  <c r="G110" i="31"/>
  <c r="F110" i="31"/>
  <c r="E110" i="31"/>
  <c r="D110" i="31"/>
  <c r="C110" i="31"/>
  <c r="B110" i="31"/>
  <c r="G109" i="31"/>
  <c r="F109" i="31"/>
  <c r="E109" i="31"/>
  <c r="D109" i="31"/>
  <c r="C109" i="31"/>
  <c r="B109" i="31"/>
  <c r="G108" i="31"/>
  <c r="F108" i="31"/>
  <c r="E108" i="31"/>
  <c r="D108" i="31"/>
  <c r="C108" i="31"/>
  <c r="B108" i="31"/>
  <c r="E107" i="31"/>
  <c r="B107" i="31"/>
  <c r="H103" i="31"/>
  <c r="G103" i="31"/>
  <c r="F103" i="31"/>
  <c r="E103" i="31"/>
  <c r="D103" i="31"/>
  <c r="C103" i="31"/>
  <c r="B103" i="31"/>
  <c r="G102" i="31"/>
  <c r="F102" i="31"/>
  <c r="E102" i="31"/>
  <c r="D102" i="31"/>
  <c r="C102" i="31"/>
  <c r="B102" i="31"/>
  <c r="G101" i="31"/>
  <c r="F101" i="31"/>
  <c r="E101" i="31"/>
  <c r="D101" i="31"/>
  <c r="C101" i="31"/>
  <c r="B101" i="31"/>
  <c r="H100" i="31"/>
  <c r="G100" i="31"/>
  <c r="F100" i="31"/>
  <c r="E100" i="31"/>
  <c r="D100" i="31"/>
  <c r="C100" i="31"/>
  <c r="B100" i="31"/>
  <c r="G99" i="31"/>
  <c r="F99" i="31"/>
  <c r="E99" i="31"/>
  <c r="D99" i="31"/>
  <c r="C99" i="31"/>
  <c r="B99" i="31"/>
  <c r="G98" i="31"/>
  <c r="F98" i="31"/>
  <c r="E98" i="31"/>
  <c r="D98" i="31"/>
  <c r="G94" i="31"/>
  <c r="F94" i="31"/>
  <c r="E94" i="31"/>
  <c r="D94" i="31"/>
  <c r="C94" i="31"/>
  <c r="B94" i="31"/>
  <c r="G93" i="31"/>
  <c r="F93" i="31"/>
  <c r="E93" i="31"/>
  <c r="D93" i="31"/>
  <c r="C93" i="31"/>
  <c r="B93" i="31"/>
  <c r="H92" i="31"/>
  <c r="G92" i="31"/>
  <c r="F92" i="31"/>
  <c r="E92" i="31"/>
  <c r="D92" i="31"/>
  <c r="C92" i="31"/>
  <c r="B92" i="31"/>
  <c r="H91" i="31"/>
  <c r="G91" i="31"/>
  <c r="F91" i="31"/>
  <c r="E91" i="31"/>
  <c r="D91" i="31"/>
  <c r="C91" i="31"/>
  <c r="B91" i="31"/>
  <c r="H90" i="31"/>
  <c r="G90" i="31"/>
  <c r="F90" i="31"/>
  <c r="E90" i="31"/>
  <c r="D90" i="31"/>
  <c r="C90" i="31"/>
  <c r="B90" i="31"/>
  <c r="B89" i="31"/>
  <c r="G83" i="31"/>
  <c r="F83" i="31"/>
  <c r="E83" i="31"/>
  <c r="D83" i="31"/>
  <c r="C83" i="31"/>
  <c r="B83" i="31"/>
  <c r="H82" i="31"/>
  <c r="G82" i="31"/>
  <c r="F82" i="31"/>
  <c r="E82" i="31"/>
  <c r="D82" i="31"/>
  <c r="C82" i="31"/>
  <c r="B82" i="31"/>
  <c r="H81" i="31"/>
  <c r="G81" i="31"/>
  <c r="F81" i="31"/>
  <c r="E81" i="31"/>
  <c r="D81" i="31"/>
  <c r="C81" i="31"/>
  <c r="B81" i="31"/>
  <c r="G80" i="31"/>
  <c r="F80" i="31"/>
  <c r="E80" i="31"/>
  <c r="D80" i="31"/>
  <c r="C80" i="31"/>
  <c r="B80" i="31"/>
  <c r="H79" i="31"/>
  <c r="G79" i="31"/>
  <c r="F79" i="31"/>
  <c r="E79" i="31"/>
  <c r="D79" i="31"/>
  <c r="C79" i="31"/>
  <c r="B79" i="31"/>
  <c r="E78" i="31"/>
  <c r="C78" i="31"/>
  <c r="B78" i="31"/>
  <c r="H72" i="31"/>
  <c r="G72" i="31"/>
  <c r="F72" i="31"/>
  <c r="E72" i="31"/>
  <c r="D72" i="31"/>
  <c r="C72" i="31"/>
  <c r="B72" i="31"/>
  <c r="H71" i="31"/>
  <c r="G71" i="31"/>
  <c r="F71" i="31"/>
  <c r="E71" i="31"/>
  <c r="D71" i="31"/>
  <c r="C71" i="31"/>
  <c r="B71" i="31"/>
  <c r="G70" i="31"/>
  <c r="F70" i="31"/>
  <c r="E70" i="31"/>
  <c r="D70" i="31"/>
  <c r="C70" i="31"/>
  <c r="B70" i="31"/>
  <c r="G69" i="31"/>
  <c r="F69" i="31"/>
  <c r="E69" i="31"/>
  <c r="D69" i="31"/>
  <c r="C69" i="31"/>
  <c r="B69" i="31"/>
  <c r="H68" i="31"/>
  <c r="G68" i="31"/>
  <c r="F68" i="31"/>
  <c r="E68" i="31"/>
  <c r="D68" i="31"/>
  <c r="C68" i="31"/>
  <c r="B68" i="31"/>
  <c r="H67" i="31"/>
  <c r="G67" i="31"/>
  <c r="F67" i="31"/>
  <c r="E67" i="31"/>
  <c r="D67" i="31"/>
  <c r="C67" i="31"/>
  <c r="B67" i="31"/>
  <c r="E66" i="31"/>
  <c r="G60" i="31"/>
  <c r="F60" i="31"/>
  <c r="E60" i="31"/>
  <c r="D60" i="31"/>
  <c r="C60" i="31"/>
  <c r="B60" i="31"/>
  <c r="H59" i="31"/>
  <c r="G59" i="31"/>
  <c r="F59" i="31"/>
  <c r="E59" i="31"/>
  <c r="D59" i="31"/>
  <c r="C59" i="31"/>
  <c r="B59" i="31"/>
  <c r="G58" i="31"/>
  <c r="F58" i="31"/>
  <c r="E58" i="31"/>
  <c r="D58" i="31"/>
  <c r="C58" i="31"/>
  <c r="B58" i="31"/>
  <c r="H57" i="31"/>
  <c r="G57" i="31"/>
  <c r="F57" i="31"/>
  <c r="E57" i="31"/>
  <c r="D57" i="31"/>
  <c r="C57" i="31"/>
  <c r="B57" i="31"/>
  <c r="G56" i="31"/>
  <c r="F56" i="31"/>
  <c r="E56" i="31"/>
  <c r="D56" i="31"/>
  <c r="C56" i="31"/>
  <c r="B56" i="31"/>
  <c r="G55" i="31"/>
  <c r="F55" i="31"/>
  <c r="E55" i="31"/>
  <c r="D55" i="31"/>
  <c r="C55" i="31"/>
  <c r="B55" i="31"/>
  <c r="B54" i="31"/>
  <c r="G48" i="31"/>
  <c r="F48" i="31"/>
  <c r="E48" i="31"/>
  <c r="D48" i="31"/>
  <c r="C48" i="31"/>
  <c r="B48" i="31"/>
  <c r="G47" i="31"/>
  <c r="F47" i="31"/>
  <c r="E47" i="31"/>
  <c r="D47" i="31"/>
  <c r="C47" i="31"/>
  <c r="B47" i="31"/>
  <c r="G46" i="31"/>
  <c r="F46" i="31"/>
  <c r="E46" i="31"/>
  <c r="D46" i="31"/>
  <c r="C46" i="31"/>
  <c r="B46" i="31"/>
  <c r="G45" i="31"/>
  <c r="F45" i="31"/>
  <c r="E45" i="31"/>
  <c r="D45" i="31"/>
  <c r="C45" i="31"/>
  <c r="B45" i="31"/>
  <c r="H44" i="31"/>
  <c r="G44" i="31"/>
  <c r="F44" i="31"/>
  <c r="E44" i="31"/>
  <c r="D44" i="31"/>
  <c r="C44" i="31"/>
  <c r="B44" i="31"/>
  <c r="G43" i="31"/>
  <c r="F43" i="31"/>
  <c r="E43" i="31"/>
  <c r="D43" i="31"/>
  <c r="C43" i="31"/>
  <c r="B43" i="31"/>
  <c r="G36" i="31"/>
  <c r="F36" i="31"/>
  <c r="E36" i="31"/>
  <c r="D36" i="31"/>
  <c r="C36" i="31"/>
  <c r="B36" i="31"/>
  <c r="G35" i="31"/>
  <c r="F35" i="31"/>
  <c r="E35" i="31"/>
  <c r="D35" i="31"/>
  <c r="C35" i="31"/>
  <c r="B35" i="31"/>
  <c r="G34" i="31"/>
  <c r="F34" i="31"/>
  <c r="E34" i="31"/>
  <c r="D34" i="31"/>
  <c r="C34" i="31"/>
  <c r="B34" i="31"/>
  <c r="G33" i="31"/>
  <c r="F33" i="31"/>
  <c r="E33" i="31"/>
  <c r="D33" i="31"/>
  <c r="C33" i="31"/>
  <c r="B33" i="31"/>
  <c r="G32" i="31"/>
  <c r="F32" i="31"/>
  <c r="E32" i="31"/>
  <c r="D32" i="31"/>
  <c r="C32" i="31"/>
  <c r="B32" i="31"/>
  <c r="G31" i="31"/>
  <c r="F31" i="31"/>
  <c r="E31" i="31"/>
  <c r="D31" i="31"/>
  <c r="C31" i="31"/>
  <c r="B31" i="31"/>
  <c r="G24" i="31"/>
  <c r="F24" i="31"/>
  <c r="E24" i="31"/>
  <c r="D24" i="31"/>
  <c r="C24" i="31"/>
  <c r="B24" i="31"/>
  <c r="G23" i="31"/>
  <c r="F23" i="31"/>
  <c r="E23" i="31"/>
  <c r="D23" i="31"/>
  <c r="C23" i="31"/>
  <c r="B23" i="31"/>
  <c r="G22" i="31"/>
  <c r="F22" i="31"/>
  <c r="E22" i="31"/>
  <c r="D22" i="31"/>
  <c r="C22" i="31"/>
  <c r="B22" i="31"/>
  <c r="G21" i="31"/>
  <c r="F21" i="31"/>
  <c r="E21" i="31"/>
  <c r="D21" i="31"/>
  <c r="C21" i="31"/>
  <c r="B21" i="31"/>
  <c r="G20" i="31"/>
  <c r="F20" i="31"/>
  <c r="E20" i="31"/>
  <c r="D20" i="31"/>
  <c r="C20" i="31"/>
  <c r="B20" i="31"/>
  <c r="G19" i="31"/>
  <c r="F19" i="31"/>
  <c r="E19" i="31"/>
  <c r="D19" i="31"/>
  <c r="C19" i="31"/>
  <c r="B19" i="31"/>
  <c r="G18" i="31"/>
  <c r="F203" i="28"/>
  <c r="B203" i="28"/>
  <c r="F202" i="28"/>
  <c r="E202" i="28"/>
  <c r="C202" i="28"/>
  <c r="C201" i="28"/>
  <c r="B201" i="28"/>
  <c r="E200" i="28"/>
  <c r="E199" i="28"/>
  <c r="D199" i="28"/>
  <c r="B199" i="28"/>
  <c r="E197" i="28"/>
  <c r="D197" i="28"/>
  <c r="B197" i="28"/>
  <c r="D196" i="28"/>
  <c r="C196" i="28"/>
  <c r="B196" i="28"/>
  <c r="G195" i="28"/>
  <c r="C195" i="28"/>
  <c r="B195" i="28"/>
  <c r="F194" i="28"/>
  <c r="C194" i="28"/>
  <c r="B194" i="28"/>
  <c r="G193" i="28"/>
  <c r="E193" i="28"/>
  <c r="F187" i="28"/>
  <c r="C187" i="28"/>
  <c r="B187" i="28"/>
  <c r="E186" i="28"/>
  <c r="C186" i="28"/>
  <c r="E185" i="28"/>
  <c r="B185" i="28"/>
  <c r="G184" i="28"/>
  <c r="E184" i="28"/>
  <c r="B184" i="28"/>
  <c r="G183" i="28"/>
  <c r="D183" i="28"/>
  <c r="B183" i="28"/>
  <c r="G181" i="28"/>
  <c r="D181" i="28"/>
  <c r="B181" i="28"/>
  <c r="E180" i="28"/>
  <c r="B180" i="28"/>
  <c r="F179" i="28"/>
  <c r="C179" i="28"/>
  <c r="F178" i="28"/>
  <c r="D178" i="28"/>
  <c r="E177" i="28"/>
  <c r="F171" i="28"/>
  <c r="D171" i="28"/>
  <c r="C170" i="28"/>
  <c r="F169" i="28"/>
  <c r="G168" i="28"/>
  <c r="C168" i="28"/>
  <c r="B168" i="28"/>
  <c r="B165" i="28"/>
  <c r="G164" i="28"/>
  <c r="F164" i="28"/>
  <c r="F163" i="28"/>
  <c r="E162" i="28"/>
  <c r="C161" i="28"/>
  <c r="G155" i="28"/>
  <c r="E155" i="28"/>
  <c r="B155" i="28"/>
  <c r="D154" i="28"/>
  <c r="B154" i="28"/>
  <c r="D153" i="28"/>
  <c r="F152" i="28"/>
  <c r="F151" i="28"/>
  <c r="D151" i="28"/>
  <c r="C151" i="28"/>
  <c r="G149" i="28"/>
  <c r="C149" i="28"/>
  <c r="B148" i="28"/>
  <c r="G147" i="28"/>
  <c r="E147" i="28"/>
  <c r="F146" i="28"/>
  <c r="C137" i="28"/>
  <c r="F136" i="28"/>
  <c r="C135" i="28"/>
  <c r="G134" i="28"/>
  <c r="F134" i="28"/>
  <c r="E133" i="28"/>
  <c r="B133" i="28"/>
  <c r="E131" i="28"/>
  <c r="D131" i="28"/>
  <c r="B131" i="28"/>
  <c r="D130" i="28"/>
  <c r="C129" i="28"/>
  <c r="G128" i="28"/>
  <c r="B128" i="28"/>
  <c r="E127" i="28"/>
  <c r="H119" i="28"/>
  <c r="G119" i="28"/>
  <c r="F119" i="28"/>
  <c r="E119" i="28"/>
  <c r="D119" i="28"/>
  <c r="C119" i="28"/>
  <c r="B119" i="28"/>
  <c r="C118" i="28"/>
  <c r="B118" i="28"/>
  <c r="G117" i="28"/>
  <c r="B117" i="28"/>
  <c r="G116" i="28"/>
  <c r="F116" i="28"/>
  <c r="D116" i="28"/>
  <c r="D115" i="28"/>
  <c r="C115" i="28"/>
  <c r="F114" i="28"/>
  <c r="D114" i="28"/>
  <c r="H112" i="28"/>
  <c r="G112" i="28"/>
  <c r="F112" i="28"/>
  <c r="E112" i="28"/>
  <c r="D112" i="28"/>
  <c r="C112" i="28"/>
  <c r="B112" i="28"/>
  <c r="G111" i="28"/>
  <c r="D111" i="28"/>
  <c r="C111" i="28"/>
  <c r="C110" i="28"/>
  <c r="B110" i="28"/>
  <c r="G109" i="28"/>
  <c r="B109" i="28"/>
  <c r="F108" i="28"/>
  <c r="G107" i="28"/>
  <c r="F107" i="28"/>
  <c r="D107" i="28"/>
  <c r="H99" i="28"/>
  <c r="G99" i="28"/>
  <c r="F99" i="28"/>
  <c r="E99" i="28"/>
  <c r="D99" i="28"/>
  <c r="C99" i="28"/>
  <c r="B99" i="28"/>
  <c r="D98" i="28"/>
  <c r="G97" i="28"/>
  <c r="C97" i="28"/>
  <c r="D96" i="28"/>
  <c r="E95" i="28"/>
  <c r="B94" i="28"/>
  <c r="H92" i="28"/>
  <c r="G92" i="28"/>
  <c r="F92" i="28"/>
  <c r="E92" i="28"/>
  <c r="D92" i="28"/>
  <c r="C92" i="28"/>
  <c r="B92" i="28"/>
  <c r="G91" i="28"/>
  <c r="E91" i="28"/>
  <c r="G89" i="28"/>
  <c r="G88" i="28"/>
  <c r="F88" i="28"/>
  <c r="D87" i="28"/>
  <c r="H79" i="28"/>
  <c r="G79" i="28"/>
  <c r="F79" i="28"/>
  <c r="E79" i="28"/>
  <c r="D79" i="28"/>
  <c r="C79" i="28"/>
  <c r="B79" i="28"/>
  <c r="G78" i="28"/>
  <c r="E78" i="28"/>
  <c r="C77" i="28"/>
  <c r="B77" i="28"/>
  <c r="E76" i="28"/>
  <c r="C76" i="28"/>
  <c r="E74" i="28"/>
  <c r="H72" i="28"/>
  <c r="G72" i="28"/>
  <c r="F72" i="28"/>
  <c r="E72" i="28"/>
  <c r="D72" i="28"/>
  <c r="C72" i="28"/>
  <c r="B72" i="28"/>
  <c r="F71" i="28"/>
  <c r="D71" i="28"/>
  <c r="E70" i="28"/>
  <c r="C70" i="28"/>
  <c r="G69" i="28"/>
  <c r="D69" i="28"/>
  <c r="B69" i="28"/>
  <c r="F68" i="28"/>
  <c r="E68" i="28"/>
  <c r="C68" i="28"/>
  <c r="G67" i="28"/>
  <c r="E59" i="28"/>
  <c r="D59" i="28"/>
  <c r="C59" i="28"/>
  <c r="F58" i="28"/>
  <c r="G57" i="28"/>
  <c r="D57" i="28"/>
  <c r="E56" i="28"/>
  <c r="B56" i="28"/>
  <c r="F55" i="28"/>
  <c r="H52" i="28"/>
  <c r="G52" i="28"/>
  <c r="F52" i="28"/>
  <c r="E52" i="28"/>
  <c r="D52" i="28"/>
  <c r="C52" i="28"/>
  <c r="B52" i="28"/>
  <c r="E51" i="28"/>
  <c r="F50" i="28"/>
  <c r="D49" i="28"/>
  <c r="G48" i="28"/>
  <c r="B48" i="28"/>
  <c r="F37" i="28"/>
  <c r="F36" i="28"/>
  <c r="E36" i="28"/>
  <c r="E35" i="28"/>
  <c r="C34" i="28"/>
  <c r="B34" i="28"/>
  <c r="H32" i="28"/>
  <c r="G32" i="28"/>
  <c r="F32" i="28"/>
  <c r="E32" i="28"/>
  <c r="D32" i="28"/>
  <c r="C32" i="28"/>
  <c r="B32" i="28"/>
  <c r="F29" i="28"/>
  <c r="E27" i="28"/>
  <c r="C27" i="28"/>
  <c r="J18" i="36"/>
  <c r="H18" i="36"/>
  <c r="G18" i="36"/>
  <c r="B18" i="36"/>
  <c r="J17" i="36"/>
  <c r="H17" i="36"/>
  <c r="D16" i="36"/>
  <c r="B15" i="36"/>
  <c r="H14" i="36"/>
  <c r="D14" i="36"/>
  <c r="J7" i="36"/>
  <c r="J6" i="36"/>
  <c r="D6" i="36"/>
  <c r="B52" i="33"/>
  <c r="B38" i="33"/>
  <c r="B24" i="33"/>
  <c r="C112" i="26"/>
  <c r="D99" i="26"/>
  <c r="G52" i="26"/>
  <c r="AH29" i="4"/>
  <c r="AG29" i="4"/>
  <c r="AF29" i="4"/>
  <c r="AD29" i="4"/>
  <c r="AC29" i="4"/>
  <c r="AB29" i="4"/>
  <c r="AA29" i="4"/>
  <c r="Z29" i="4"/>
  <c r="Y29" i="4"/>
  <c r="X29" i="4"/>
  <c r="W29" i="4"/>
  <c r="V29" i="4"/>
  <c r="U29" i="4"/>
  <c r="T29" i="4"/>
  <c r="S29" i="4"/>
  <c r="R29" i="4"/>
  <c r="Q29" i="4"/>
  <c r="AB43" i="6"/>
  <c r="AA43" i="6"/>
  <c r="U43" i="6"/>
  <c r="T43" i="6"/>
  <c r="S43" i="6"/>
  <c r="R43" i="6"/>
  <c r="Q43" i="6"/>
  <c r="P43" i="6"/>
  <c r="O43" i="6"/>
  <c r="N43" i="6"/>
  <c r="M43" i="6"/>
  <c r="L43" i="6"/>
  <c r="K43" i="6"/>
  <c r="J43" i="6"/>
  <c r="T1032" i="9"/>
  <c r="S696" i="9"/>
  <c r="S781" i="9"/>
  <c r="S865" i="9"/>
  <c r="S948" i="9"/>
  <c r="S1032" i="9"/>
  <c r="R696" i="9"/>
  <c r="R781" i="9"/>
  <c r="R865" i="9"/>
  <c r="R948" i="9"/>
  <c r="R1032" i="9"/>
  <c r="T1008" i="9"/>
  <c r="S1008" i="9"/>
  <c r="R1008" i="9"/>
  <c r="B188" i="11"/>
  <c r="B178" i="11"/>
  <c r="B143" i="11"/>
  <c r="B131" i="11"/>
  <c r="B119" i="11"/>
  <c r="B106" i="11"/>
  <c r="B92" i="11"/>
  <c r="B78" i="11"/>
  <c r="B65" i="11"/>
  <c r="B59" i="11"/>
  <c r="B45" i="11"/>
  <c r="B39" i="11"/>
  <c r="B24" i="11"/>
  <c r="B23" i="11"/>
  <c r="B22" i="11"/>
  <c r="A29" i="4"/>
  <c r="A28" i="4"/>
  <c r="A27" i="4"/>
  <c r="A26" i="4"/>
  <c r="A25" i="4"/>
  <c r="AC52" i="20"/>
  <c r="AB52" i="20"/>
  <c r="AA52" i="20"/>
  <c r="Z52" i="20"/>
  <c r="Y52" i="20"/>
  <c r="X52" i="20"/>
  <c r="W52" i="20"/>
  <c r="V52" i="20"/>
  <c r="U52" i="20"/>
  <c r="T52" i="20"/>
  <c r="S52" i="20"/>
  <c r="R52" i="20"/>
  <c r="Q52" i="20"/>
  <c r="L52" i="20"/>
  <c r="L54" i="20" s="1"/>
  <c r="G48" i="20"/>
  <c r="B48" i="20"/>
  <c r="AJ47" i="20"/>
  <c r="G47" i="20"/>
  <c r="B47" i="20"/>
  <c r="AJ46" i="20"/>
  <c r="AH26" i="1"/>
  <c r="AG26" i="1"/>
  <c r="AF26" i="1"/>
  <c r="AE26" i="1"/>
  <c r="AD26" i="1"/>
  <c r="AH25" i="1"/>
  <c r="AG25" i="1"/>
  <c r="AF25" i="1"/>
  <c r="AE25" i="1"/>
  <c r="AD25" i="1"/>
  <c r="AH24" i="1"/>
  <c r="AG24" i="1"/>
  <c r="AF24" i="1"/>
  <c r="AE24" i="1"/>
  <c r="AD24" i="1"/>
  <c r="G24" i="1"/>
  <c r="B22" i="1"/>
  <c r="AK107" i="9" l="1"/>
  <c r="B35" i="34" s="1"/>
  <c r="G75" i="28"/>
  <c r="E28" i="28"/>
  <c r="B107" i="28"/>
  <c r="B134" i="28"/>
  <c r="E152" i="28"/>
  <c r="F155" i="28"/>
  <c r="F180" i="28"/>
  <c r="G23" i="32"/>
  <c r="B127" i="28"/>
  <c r="F130" i="28"/>
  <c r="C167" i="28"/>
  <c r="S61" i="6"/>
  <c r="R305" i="9"/>
  <c r="R330" i="9" s="1"/>
  <c r="B70" i="26" s="1"/>
  <c r="R310" i="9"/>
  <c r="R314" i="9"/>
  <c r="AN738" i="9"/>
  <c r="E170" i="34" s="1"/>
  <c r="E109" i="28"/>
  <c r="AM468" i="9"/>
  <c r="D108" i="34" s="1"/>
  <c r="F110" i="28"/>
  <c r="J228" i="9"/>
  <c r="C31" i="28"/>
  <c r="F51" i="28"/>
  <c r="F77" i="28"/>
  <c r="D128" i="28"/>
  <c r="E21" i="32"/>
  <c r="B39" i="28"/>
  <c r="G131" i="28"/>
  <c r="B164" i="28"/>
  <c r="B34" i="32"/>
  <c r="D194" i="28"/>
  <c r="D30" i="28"/>
  <c r="G56" i="28"/>
  <c r="E94" i="28"/>
  <c r="F97" i="28"/>
  <c r="C108" i="28"/>
  <c r="F127" i="28"/>
  <c r="B130" i="28"/>
  <c r="B135" i="28"/>
  <c r="C162" i="28"/>
  <c r="F196" i="28"/>
  <c r="AA83" i="6"/>
  <c r="T122" i="6"/>
  <c r="R304" i="9"/>
  <c r="R329" i="9" s="1"/>
  <c r="B69" i="26" s="1"/>
  <c r="F89" i="28"/>
  <c r="G127" i="28"/>
  <c r="C130" i="28"/>
  <c r="B146" i="28"/>
  <c r="E154" i="28"/>
  <c r="F165" i="28"/>
  <c r="E169" i="28"/>
  <c r="D24" i="32"/>
  <c r="AE157" i="9"/>
  <c r="V33" i="34" s="1"/>
  <c r="G95" i="28"/>
  <c r="D149" i="28"/>
  <c r="G152" i="28"/>
  <c r="F154" i="28"/>
  <c r="D163" i="28"/>
  <c r="C193" i="28"/>
  <c r="Z82" i="6"/>
  <c r="Q8" i="27" s="1"/>
  <c r="R82" i="6"/>
  <c r="R91" i="6" s="1"/>
  <c r="I14" i="27" s="1"/>
  <c r="C54" i="28"/>
  <c r="G74" i="28"/>
  <c r="B87" i="28"/>
  <c r="F90" i="28"/>
  <c r="F98" i="28"/>
  <c r="D133" i="28"/>
  <c r="D136" i="28"/>
  <c r="B147" i="28"/>
  <c r="E149" i="28"/>
  <c r="E163" i="28"/>
  <c r="G178" i="28"/>
  <c r="F181" i="28"/>
  <c r="B22" i="32"/>
  <c r="E98" i="32"/>
  <c r="F31" i="28"/>
  <c r="G90" i="28"/>
  <c r="C96" i="28"/>
  <c r="G98" i="28"/>
  <c r="E136" i="28"/>
  <c r="L83" i="6"/>
  <c r="C10" i="27" s="1"/>
  <c r="U213" i="9"/>
  <c r="U238" i="9" s="1"/>
  <c r="E50" i="26" s="1"/>
  <c r="J865" i="9"/>
  <c r="D94" i="28"/>
  <c r="B129" i="28"/>
  <c r="C171" i="28"/>
  <c r="C89" i="32"/>
  <c r="D83" i="6"/>
  <c r="L122" i="6"/>
  <c r="T164" i="24"/>
  <c r="M164" i="24"/>
  <c r="U11" i="24"/>
  <c r="F164" i="24"/>
  <c r="N164" i="24"/>
  <c r="V11" i="24"/>
  <c r="L164" i="24"/>
  <c r="G164" i="24"/>
  <c r="O164" i="24"/>
  <c r="W11" i="24"/>
  <c r="K164" i="24"/>
  <c r="H164" i="24"/>
  <c r="P164" i="24"/>
  <c r="I164" i="24"/>
  <c r="Q164" i="24"/>
  <c r="Y11" i="24"/>
  <c r="S164" i="24"/>
  <c r="J164" i="24"/>
  <c r="R164" i="24"/>
  <c r="Z164" i="24"/>
  <c r="F35" i="28"/>
  <c r="B50" i="28"/>
  <c r="D135" i="28"/>
  <c r="F162" i="28"/>
  <c r="B178" i="28"/>
  <c r="AP384" i="9"/>
  <c r="G96" i="34" s="1"/>
  <c r="C98" i="28"/>
  <c r="AK906" i="9"/>
  <c r="B203" i="34" s="1"/>
  <c r="D129" i="28"/>
  <c r="F39" i="28"/>
  <c r="D51" i="28"/>
  <c r="C69" i="28"/>
  <c r="E71" i="28"/>
  <c r="F78" i="28"/>
  <c r="F199" i="28"/>
  <c r="D27" i="28"/>
  <c r="B37" i="28"/>
  <c r="D74" i="28"/>
  <c r="D146" i="28"/>
  <c r="F148" i="28"/>
  <c r="G151" i="28"/>
  <c r="C36" i="32"/>
  <c r="F131" i="28"/>
  <c r="J725" i="9"/>
  <c r="AM904" i="9"/>
  <c r="D201" i="34" s="1"/>
  <c r="F28" i="28"/>
  <c r="F48" i="28"/>
  <c r="B68" i="28"/>
  <c r="G87" i="28"/>
  <c r="F94" i="28"/>
  <c r="B115" i="28"/>
  <c r="D179" i="28"/>
  <c r="F31" i="32"/>
  <c r="B152" i="28"/>
  <c r="C35" i="28"/>
  <c r="G37" i="28"/>
  <c r="D55" i="28"/>
  <c r="D70" i="28"/>
  <c r="D75" i="28"/>
  <c r="E130" i="28"/>
  <c r="F185" i="28"/>
  <c r="F197" i="28"/>
  <c r="AO902" i="9"/>
  <c r="F199" i="34" s="1"/>
  <c r="F56" i="28"/>
  <c r="G94" i="28"/>
  <c r="G177" i="28"/>
  <c r="B33" i="32"/>
  <c r="E36" i="32"/>
  <c r="T120" i="9"/>
  <c r="T145" i="9" s="1"/>
  <c r="D29" i="26" s="1"/>
  <c r="AK202" i="9"/>
  <c r="B58" i="34" s="1"/>
  <c r="AK216" i="9"/>
  <c r="J56" i="34" s="1"/>
  <c r="G54" i="28"/>
  <c r="B95" i="28"/>
  <c r="D134" i="28"/>
  <c r="D185" i="28"/>
  <c r="AL101" i="9"/>
  <c r="C29" i="34" s="1"/>
  <c r="C203" i="28"/>
  <c r="AK823" i="9"/>
  <c r="B187" i="34" s="1"/>
  <c r="F38" i="28"/>
  <c r="D180" i="28"/>
  <c r="B193" i="28"/>
  <c r="F75" i="28"/>
  <c r="D77" i="28"/>
  <c r="G163" i="28"/>
  <c r="F183" i="28"/>
  <c r="E201" i="28"/>
  <c r="AP902" i="9"/>
  <c r="G199" i="34" s="1"/>
  <c r="L984" i="9"/>
  <c r="C24" i="32"/>
  <c r="C39" i="28"/>
  <c r="B67" i="28"/>
  <c r="D195" i="28"/>
  <c r="AL127" i="9"/>
  <c r="K39" i="34" s="1"/>
  <c r="AM735" i="9"/>
  <c r="D167" i="34" s="1"/>
  <c r="E196" i="28"/>
  <c r="G199" i="28"/>
  <c r="C56" i="28"/>
  <c r="C74" i="28"/>
  <c r="G186" i="28"/>
  <c r="B200" i="28"/>
  <c r="B23" i="32"/>
  <c r="O279" i="9"/>
  <c r="AM821" i="9"/>
  <c r="D185" i="34" s="1"/>
  <c r="F19" i="32"/>
  <c r="AK126" i="9"/>
  <c r="J38" i="34" s="1"/>
  <c r="AO375" i="9"/>
  <c r="F87" i="34" s="1"/>
  <c r="AP111" i="9"/>
  <c r="G39" i="34" s="1"/>
  <c r="U219" i="9"/>
  <c r="U244" i="9" s="1"/>
  <c r="E56" i="26" s="1"/>
  <c r="S576" i="9"/>
  <c r="S599" i="9" s="1"/>
  <c r="C127" i="26" s="1"/>
  <c r="S583" i="9"/>
  <c r="S606" i="9" s="1"/>
  <c r="C134" i="26" s="1"/>
  <c r="AK651" i="9"/>
  <c r="B152" i="34" s="1"/>
  <c r="C50" i="28"/>
  <c r="AK108" i="9"/>
  <c r="B36" i="34" s="1"/>
  <c r="O655" i="9"/>
  <c r="AP651" i="9"/>
  <c r="G152" i="34" s="1"/>
  <c r="AL903" i="9"/>
  <c r="C200" i="34" s="1"/>
  <c r="B29" i="28"/>
  <c r="E47" i="28"/>
  <c r="M5" i="27"/>
  <c r="AM819" i="9"/>
  <c r="D183" i="34" s="1"/>
  <c r="AB83" i="6"/>
  <c r="S10" i="27" s="1"/>
  <c r="AC95" i="6"/>
  <c r="C19" i="32"/>
  <c r="O61" i="6"/>
  <c r="S82" i="6"/>
  <c r="J8" i="27" s="1"/>
  <c r="K123" i="6"/>
  <c r="AC120" i="6" s="1"/>
  <c r="W123" i="9"/>
  <c r="W148" i="9" s="1"/>
  <c r="G32" i="26" s="1"/>
  <c r="O44" i="9"/>
  <c r="AK730" i="9"/>
  <c r="B162" i="34" s="1"/>
  <c r="AM733" i="9"/>
  <c r="D165" i="34" s="1"/>
  <c r="G114" i="28"/>
  <c r="C185" i="28"/>
  <c r="D19" i="32"/>
  <c r="F21" i="32"/>
  <c r="D33" i="32"/>
  <c r="D107" i="32"/>
  <c r="C11" i="27"/>
  <c r="D13" i="38" s="1"/>
  <c r="D75" i="38" s="1"/>
  <c r="M136" i="9"/>
  <c r="L696" i="9"/>
  <c r="AO821" i="9"/>
  <c r="F185" i="34" s="1"/>
  <c r="D29" i="28"/>
  <c r="D39" i="28"/>
  <c r="F57" i="28"/>
  <c r="D76" i="28"/>
  <c r="G77" i="28"/>
  <c r="C134" i="28"/>
  <c r="F135" i="28"/>
  <c r="B169" i="28"/>
  <c r="C98" i="32"/>
  <c r="U83" i="6"/>
  <c r="L10" i="27" s="1"/>
  <c r="K82" i="6"/>
  <c r="B8" i="27" s="1"/>
  <c r="M83" i="6"/>
  <c r="D10" i="27" s="1"/>
  <c r="U122" i="6"/>
  <c r="R123" i="9"/>
  <c r="R148" i="9" s="1"/>
  <c r="B32" i="26" s="1"/>
  <c r="J44" i="9"/>
  <c r="AN476" i="9"/>
  <c r="E116" i="34" s="1"/>
  <c r="G35" i="28"/>
  <c r="F74" i="28"/>
  <c r="B111" i="28"/>
  <c r="Q5" i="27"/>
  <c r="AA82" i="6"/>
  <c r="P66" i="9" s="1"/>
  <c r="L80" i="6"/>
  <c r="AK100" i="9"/>
  <c r="B28" i="34" s="1"/>
  <c r="R118" i="9"/>
  <c r="R143" i="9" s="1"/>
  <c r="B27" i="26" s="1"/>
  <c r="AO124" i="9"/>
  <c r="N36" i="34" s="1"/>
  <c r="AP125" i="9"/>
  <c r="O37" i="34" s="1"/>
  <c r="AO126" i="9"/>
  <c r="N38" i="34" s="1"/>
  <c r="U211" i="9"/>
  <c r="U236" i="9" s="1"/>
  <c r="E48" i="26" s="1"/>
  <c r="AP284" i="9"/>
  <c r="G68" i="34" s="1"/>
  <c r="S394" i="9"/>
  <c r="S419" i="9" s="1"/>
  <c r="C87" i="26" s="1"/>
  <c r="AN467" i="9"/>
  <c r="E107" i="34" s="1"/>
  <c r="AP822" i="9"/>
  <c r="G186" i="34" s="1"/>
  <c r="B38" i="28"/>
  <c r="F91" i="28"/>
  <c r="G108" i="28"/>
  <c r="D167" i="28"/>
  <c r="G194" i="28"/>
  <c r="G22" i="32"/>
  <c r="S5" i="27"/>
  <c r="AC96" i="6"/>
  <c r="S123" i="6"/>
  <c r="S120" i="6" s="1"/>
  <c r="U218" i="9"/>
  <c r="U243" i="9" s="1"/>
  <c r="E55" i="26" s="1"/>
  <c r="AC249" i="9"/>
  <c r="T53" i="34" s="1"/>
  <c r="AG255" i="9"/>
  <c r="X59" i="34" s="1"/>
  <c r="L480" i="9"/>
  <c r="AO739" i="9"/>
  <c r="F171" i="34" s="1"/>
  <c r="AN814" i="9"/>
  <c r="E178" i="34" s="1"/>
  <c r="E67" i="28"/>
  <c r="C127" i="28"/>
  <c r="E181" i="28"/>
  <c r="E20" i="32"/>
  <c r="M122" i="6"/>
  <c r="F30" i="28"/>
  <c r="G34" i="28"/>
  <c r="B55" i="28"/>
  <c r="E90" i="28"/>
  <c r="C94" i="28"/>
  <c r="F95" i="28"/>
  <c r="C163" i="28"/>
  <c r="F193" i="28"/>
  <c r="C199" i="28"/>
  <c r="AB50" i="6"/>
  <c r="S3" i="27" s="1"/>
  <c r="AB87" i="6"/>
  <c r="AB108" i="6" s="1"/>
  <c r="AC4" i="6"/>
  <c r="N371" i="9"/>
  <c r="S748" i="9"/>
  <c r="S771" i="9" s="1"/>
  <c r="C163" i="26" s="1"/>
  <c r="R5" i="27"/>
  <c r="M10" i="27"/>
  <c r="R10" i="27"/>
  <c r="P67" i="9"/>
  <c r="L5" i="27"/>
  <c r="N22" i="37"/>
  <c r="N2" i="37" s="1"/>
  <c r="F54" i="28"/>
  <c r="B75" i="28"/>
  <c r="C181" i="28"/>
  <c r="G31" i="32"/>
  <c r="D54" i="32"/>
  <c r="AN733" i="9"/>
  <c r="E165" i="34" s="1"/>
  <c r="D28" i="28"/>
  <c r="C49" i="28"/>
  <c r="C51" i="28"/>
  <c r="B90" i="28"/>
  <c r="C109" i="28"/>
  <c r="D147" i="28"/>
  <c r="G179" i="28"/>
  <c r="D32" i="32"/>
  <c r="F34" i="32"/>
  <c r="E89" i="32"/>
  <c r="AO217" i="9"/>
  <c r="N57" i="34" s="1"/>
  <c r="U220" i="9"/>
  <c r="U245" i="9" s="1"/>
  <c r="E57" i="26" s="1"/>
  <c r="AM822" i="9"/>
  <c r="D186" i="34" s="1"/>
  <c r="K809" i="9"/>
  <c r="B70" i="28"/>
  <c r="B98" i="28"/>
  <c r="C117" i="28"/>
  <c r="G130" i="28"/>
  <c r="G162" i="28"/>
  <c r="E171" i="28"/>
  <c r="AK286" i="9"/>
  <c r="B70" i="34" s="1"/>
  <c r="AN475" i="9"/>
  <c r="E115" i="34" s="1"/>
  <c r="AO820" i="9"/>
  <c r="F184" i="34" s="1"/>
  <c r="R119" i="9"/>
  <c r="R144" i="9" s="1"/>
  <c r="B28" i="26" s="1"/>
  <c r="C95" i="28"/>
  <c r="B108" i="28"/>
  <c r="G187" i="28"/>
  <c r="G47" i="28"/>
  <c r="F96" i="28"/>
  <c r="F129" i="28"/>
  <c r="D177" i="28"/>
  <c r="F184" i="28"/>
  <c r="D186" i="28"/>
  <c r="J112" i="9"/>
  <c r="J94" i="9" s="1"/>
  <c r="AQ310" i="9"/>
  <c r="P78" i="34" s="1"/>
  <c r="C146" i="28"/>
  <c r="C35" i="32"/>
  <c r="B54" i="28"/>
  <c r="D137" i="28"/>
  <c r="E161" i="28"/>
  <c r="K204" i="9"/>
  <c r="E111" i="28"/>
  <c r="F149" i="28"/>
  <c r="E50" i="28"/>
  <c r="F67" i="28"/>
  <c r="D110" i="28"/>
  <c r="D118" i="28"/>
  <c r="E128" i="28"/>
  <c r="E148" i="28"/>
  <c r="G154" i="28"/>
  <c r="F54" i="31"/>
  <c r="R306" i="9"/>
  <c r="AP823" i="9"/>
  <c r="G187" i="34" s="1"/>
  <c r="L4" i="27"/>
  <c r="L253" i="9"/>
  <c r="AM217" i="9"/>
  <c r="L57" i="34" s="1"/>
  <c r="M254" i="9"/>
  <c r="E35" i="32"/>
  <c r="E39" i="28"/>
  <c r="AL110" i="9"/>
  <c r="C38" i="34" s="1"/>
  <c r="O255" i="9"/>
  <c r="AP219" i="9"/>
  <c r="O59" i="34" s="1"/>
  <c r="E29" i="28"/>
  <c r="C75" i="28"/>
  <c r="F76" i="28"/>
  <c r="B97" i="28"/>
  <c r="E118" i="28"/>
  <c r="G185" i="28"/>
  <c r="M4" i="27"/>
  <c r="F10" i="27"/>
  <c r="AN566" i="9"/>
  <c r="E134" i="34" s="1"/>
  <c r="E134" i="28"/>
  <c r="AL568" i="9"/>
  <c r="C136" i="34" s="1"/>
  <c r="C136" i="28"/>
  <c r="AO569" i="9"/>
  <c r="F137" i="34" s="1"/>
  <c r="F137" i="28"/>
  <c r="AM683" i="9"/>
  <c r="D155" i="28"/>
  <c r="AF54" i="24"/>
  <c r="AY53" i="24"/>
  <c r="C30" i="28"/>
  <c r="AL102" i="9"/>
  <c r="C30" i="34" s="1"/>
  <c r="J159" i="9"/>
  <c r="B20" i="32"/>
  <c r="K252" i="9"/>
  <c r="C33" i="32"/>
  <c r="M253" i="9"/>
  <c r="E34" i="32"/>
  <c r="AN217" i="9"/>
  <c r="M57" i="34" s="1"/>
  <c r="N254" i="9"/>
  <c r="AO218" i="9"/>
  <c r="N58" i="34" s="1"/>
  <c r="M279" i="9"/>
  <c r="E54" i="32"/>
  <c r="M51" i="37"/>
  <c r="D35" i="28"/>
  <c r="E48" i="28"/>
  <c r="F111" i="28"/>
  <c r="G196" i="28"/>
  <c r="AM644" i="9"/>
  <c r="D145" i="34" s="1"/>
  <c r="D145" i="28"/>
  <c r="AM651" i="9"/>
  <c r="D152" i="34" s="1"/>
  <c r="D152" i="28"/>
  <c r="AP681" i="9"/>
  <c r="G153" i="28"/>
  <c r="AN683" i="9"/>
  <c r="AN654" i="9"/>
  <c r="E155" i="34" s="1"/>
  <c r="O740" i="9"/>
  <c r="O724" i="9" s="1"/>
  <c r="B167" i="28"/>
  <c r="AK735" i="9"/>
  <c r="B167" i="34" s="1"/>
  <c r="AN765" i="9"/>
  <c r="E168" i="28"/>
  <c r="AN736" i="9"/>
  <c r="E168" i="34" s="1"/>
  <c r="R83" i="6"/>
  <c r="I10" i="27" s="1"/>
  <c r="R122" i="6"/>
  <c r="AP645" i="9"/>
  <c r="G146" i="34" s="1"/>
  <c r="G146" i="28"/>
  <c r="AL682" i="9"/>
  <c r="S670" i="9"/>
  <c r="S693" i="9" s="1"/>
  <c r="C154" i="26" s="1"/>
  <c r="AL653" i="9"/>
  <c r="C154" i="34" s="1"/>
  <c r="AK731" i="9"/>
  <c r="B163" i="34" s="1"/>
  <c r="B163" i="28"/>
  <c r="AP768" i="9"/>
  <c r="AP739" i="9"/>
  <c r="G171" i="34" s="1"/>
  <c r="AG46" i="35"/>
  <c r="K122" i="6"/>
  <c r="B27" i="28"/>
  <c r="D34" i="28"/>
  <c r="E37" i="28"/>
  <c r="G38" i="28"/>
  <c r="D50" i="28"/>
  <c r="E110" i="28"/>
  <c r="C114" i="28"/>
  <c r="F115" i="28"/>
  <c r="E145" i="28"/>
  <c r="G161" i="28"/>
  <c r="G180" i="28"/>
  <c r="D34" i="32"/>
  <c r="R128" i="9"/>
  <c r="R153" i="9" s="1"/>
  <c r="O159" i="9"/>
  <c r="G20" i="32"/>
  <c r="M228" i="9"/>
  <c r="U307" i="9"/>
  <c r="U332" i="9" s="1"/>
  <c r="E72" i="26" s="1"/>
  <c r="U406" i="9"/>
  <c r="U431" i="9" s="1"/>
  <c r="E99" i="26" s="1"/>
  <c r="U399" i="9"/>
  <c r="U424" i="9" s="1"/>
  <c r="E92" i="26" s="1"/>
  <c r="AN819" i="9"/>
  <c r="E183" i="34" s="1"/>
  <c r="E183" i="28"/>
  <c r="AG9" i="35"/>
  <c r="S83" i="6"/>
  <c r="J10" i="27" s="1"/>
  <c r="S122" i="6"/>
  <c r="S121" i="6" s="1"/>
  <c r="AE14" i="35"/>
  <c r="Q123" i="6"/>
  <c r="G171" i="28"/>
  <c r="B42" i="32"/>
  <c r="AO729" i="9"/>
  <c r="F161" i="34" s="1"/>
  <c r="F47" i="28"/>
  <c r="B59" i="28"/>
  <c r="D109" i="28"/>
  <c r="F168" i="28"/>
  <c r="D170" i="28"/>
  <c r="B177" i="28"/>
  <c r="B31" i="32"/>
  <c r="F36" i="32"/>
  <c r="AL215" i="9"/>
  <c r="K55" i="34" s="1"/>
  <c r="R398" i="9"/>
  <c r="AK379" i="9"/>
  <c r="B91" i="34" s="1"/>
  <c r="AP565" i="9"/>
  <c r="G133" i="34" s="1"/>
  <c r="G133" i="28"/>
  <c r="AM647" i="9"/>
  <c r="D148" i="34" s="1"/>
  <c r="D148" i="28"/>
  <c r="AL681" i="9"/>
  <c r="AL652" i="9"/>
  <c r="C153" i="34" s="1"/>
  <c r="AK729" i="9"/>
  <c r="B161" i="34" s="1"/>
  <c r="B161" i="28"/>
  <c r="AM730" i="9"/>
  <c r="D162" i="34" s="1"/>
  <c r="D162" i="28"/>
  <c r="AN732" i="9"/>
  <c r="E164" i="34" s="1"/>
  <c r="E164" i="28"/>
  <c r="AM737" i="9"/>
  <c r="D169" i="34" s="1"/>
  <c r="D169" i="28"/>
  <c r="AP738" i="9"/>
  <c r="G170" i="34" s="1"/>
  <c r="G170" i="28"/>
  <c r="AK768" i="9"/>
  <c r="AK739" i="9"/>
  <c r="B171" i="34" s="1"/>
  <c r="AP932" i="9"/>
  <c r="AP903" i="9"/>
  <c r="G200" i="34" s="1"/>
  <c r="G200" i="28"/>
  <c r="K997" i="9"/>
  <c r="S997" i="9" s="1"/>
  <c r="S1020" i="9" s="1"/>
  <c r="AN194" i="9"/>
  <c r="E50" i="34" s="1"/>
  <c r="AN219" i="9"/>
  <c r="M59" i="34" s="1"/>
  <c r="M371" i="9"/>
  <c r="J1005" i="9"/>
  <c r="J1001" i="9" s="1"/>
  <c r="O590" i="9"/>
  <c r="W579" i="9" s="1"/>
  <c r="W602" i="9" s="1"/>
  <c r="G130" i="26" s="1"/>
  <c r="S919" i="9"/>
  <c r="S942" i="9" s="1"/>
  <c r="C199" i="26" s="1"/>
  <c r="O22" i="37"/>
  <c r="L112" i="9"/>
  <c r="L94" i="9" s="1"/>
  <c r="U126" i="9"/>
  <c r="U221" i="9"/>
  <c r="U246" i="9" s="1"/>
  <c r="E58" i="26" s="1"/>
  <c r="U305" i="9"/>
  <c r="U330" i="9" s="1"/>
  <c r="E70" i="26" s="1"/>
  <c r="AP561" i="9"/>
  <c r="G129" i="34" s="1"/>
  <c r="S916" i="9"/>
  <c r="S939" i="9" s="1"/>
  <c r="C196" i="26" s="1"/>
  <c r="S921" i="9"/>
  <c r="S944" i="9" s="1"/>
  <c r="C201" i="26" s="1"/>
  <c r="U121" i="9"/>
  <c r="U146" i="9" s="1"/>
  <c r="E30" i="26" s="1"/>
  <c r="AQ307" i="9"/>
  <c r="P75" i="34" s="1"/>
  <c r="S302" i="9"/>
  <c r="S327" i="9" s="1"/>
  <c r="C67" i="26" s="1"/>
  <c r="U396" i="9"/>
  <c r="U421" i="9" s="1"/>
  <c r="E89" i="26" s="1"/>
  <c r="J502" i="9"/>
  <c r="R498" i="9" s="1"/>
  <c r="J570" i="9"/>
  <c r="AM559" i="9"/>
  <c r="D127" i="34" s="1"/>
  <c r="L675" i="9"/>
  <c r="T671" i="9" s="1"/>
  <c r="T694" i="9" s="1"/>
  <c r="D155" i="26" s="1"/>
  <c r="L824" i="9"/>
  <c r="P105" i="9"/>
  <c r="P113" i="9" s="1"/>
  <c r="K655" i="9"/>
  <c r="M824" i="9"/>
  <c r="N997" i="9"/>
  <c r="G61" i="20"/>
  <c r="G25" i="1"/>
  <c r="E24" i="1"/>
  <c r="M24" i="1"/>
  <c r="U60" i="20"/>
  <c r="U24" i="1"/>
  <c r="AC60" i="20"/>
  <c r="AC24" i="1"/>
  <c r="D25" i="1"/>
  <c r="L61" i="20"/>
  <c r="L25" i="1"/>
  <c r="T61" i="20"/>
  <c r="T25" i="1"/>
  <c r="AB61" i="20"/>
  <c r="AB25" i="1"/>
  <c r="C26" i="1"/>
  <c r="S62" i="20"/>
  <c r="S26" i="1"/>
  <c r="D22" i="1"/>
  <c r="F24" i="1"/>
  <c r="N24" i="1"/>
  <c r="V60" i="20"/>
  <c r="V24" i="1"/>
  <c r="E25" i="1"/>
  <c r="M25" i="1"/>
  <c r="U61" i="20"/>
  <c r="U25" i="1"/>
  <c r="AC61" i="20"/>
  <c r="AC25" i="1"/>
  <c r="D26" i="1"/>
  <c r="L62" i="20"/>
  <c r="L26" i="1"/>
  <c r="T62" i="20"/>
  <c r="T26" i="1"/>
  <c r="AB62" i="20"/>
  <c r="AB26" i="1"/>
  <c r="P24" i="1"/>
  <c r="V62" i="20"/>
  <c r="V26" i="1"/>
  <c r="E22" i="1"/>
  <c r="O24" i="1"/>
  <c r="W60" i="20"/>
  <c r="W24" i="1"/>
  <c r="F25" i="1"/>
  <c r="N25" i="1"/>
  <c r="V61" i="20"/>
  <c r="V25" i="1"/>
  <c r="E26" i="1"/>
  <c r="M26" i="1"/>
  <c r="U62" i="20"/>
  <c r="U26" i="1"/>
  <c r="AC62" i="20"/>
  <c r="AC26" i="1"/>
  <c r="I24" i="1"/>
  <c r="Q60" i="20"/>
  <c r="Q24" i="1"/>
  <c r="Y60" i="20"/>
  <c r="Y24" i="1"/>
  <c r="H25" i="1"/>
  <c r="P25" i="1"/>
  <c r="X61" i="20"/>
  <c r="X25" i="1"/>
  <c r="G62" i="20"/>
  <c r="G26" i="1"/>
  <c r="O26" i="1"/>
  <c r="W62" i="20"/>
  <c r="W26" i="1"/>
  <c r="H24" i="1"/>
  <c r="W61" i="20"/>
  <c r="W25" i="1"/>
  <c r="B60" i="20"/>
  <c r="B24" i="1"/>
  <c r="J24" i="1"/>
  <c r="R60" i="20"/>
  <c r="R24" i="1"/>
  <c r="Z60" i="20"/>
  <c r="Z24" i="1"/>
  <c r="I25" i="1"/>
  <c r="Q61" i="20"/>
  <c r="Q25" i="1"/>
  <c r="Y61" i="20"/>
  <c r="Y25" i="1"/>
  <c r="H26" i="1"/>
  <c r="P26" i="1"/>
  <c r="X62" i="20"/>
  <c r="X26" i="1"/>
  <c r="X60" i="20"/>
  <c r="X24" i="1"/>
  <c r="C24" i="1"/>
  <c r="K24" i="1"/>
  <c r="S60" i="20"/>
  <c r="S24" i="1"/>
  <c r="AA60" i="20"/>
  <c r="AA24" i="1"/>
  <c r="B61" i="20"/>
  <c r="B25" i="1"/>
  <c r="J25" i="1"/>
  <c r="R61" i="20"/>
  <c r="R25" i="1"/>
  <c r="Z61" i="20"/>
  <c r="Z25" i="1"/>
  <c r="I26" i="1"/>
  <c r="Q62" i="20"/>
  <c r="Q26" i="1"/>
  <c r="Y62" i="20"/>
  <c r="Y26" i="1"/>
  <c r="O25" i="1"/>
  <c r="N26" i="1"/>
  <c r="D24" i="1"/>
  <c r="L60" i="20"/>
  <c r="L24" i="1"/>
  <c r="T60" i="20"/>
  <c r="T24" i="1"/>
  <c r="AB60" i="20"/>
  <c r="AB24" i="1"/>
  <c r="C25" i="1"/>
  <c r="K25" i="1"/>
  <c r="S61" i="20"/>
  <c r="S25" i="1"/>
  <c r="AA61" i="20"/>
  <c r="AA25" i="1"/>
  <c r="B62" i="20"/>
  <c r="B26" i="1"/>
  <c r="J26" i="1"/>
  <c r="R62" i="20"/>
  <c r="R26" i="1"/>
  <c r="Z62" i="20"/>
  <c r="Z26" i="1"/>
  <c r="F26" i="1"/>
  <c r="K26" i="1"/>
  <c r="AA62" i="20"/>
  <c r="AA26" i="1"/>
  <c r="D31" i="28"/>
  <c r="N4" i="27"/>
  <c r="AM126" i="9"/>
  <c r="L38" i="34" s="1"/>
  <c r="P128" i="9"/>
  <c r="H37" i="28" s="1"/>
  <c r="AK191" i="9"/>
  <c r="B47" i="34" s="1"/>
  <c r="S220" i="9"/>
  <c r="S245" i="9" s="1"/>
  <c r="C57" i="26" s="1"/>
  <c r="N279" i="9"/>
  <c r="AP567" i="9"/>
  <c r="G135" i="34" s="1"/>
  <c r="AM823" i="9"/>
  <c r="D187" i="34" s="1"/>
  <c r="J927" i="9"/>
  <c r="R920" i="9" s="1"/>
  <c r="J963" i="9" s="1"/>
  <c r="E31" i="28"/>
  <c r="C55" i="28"/>
  <c r="E88" i="28"/>
  <c r="F195" i="28"/>
  <c r="B202" i="28"/>
  <c r="O4" i="27"/>
  <c r="AN127" i="9"/>
  <c r="M39" i="34" s="1"/>
  <c r="AP215" i="9"/>
  <c r="O55" i="34" s="1"/>
  <c r="L502" i="9"/>
  <c r="T494" i="9" s="1"/>
  <c r="T519" i="9" s="1"/>
  <c r="D115" i="26" s="1"/>
  <c r="S662" i="9"/>
  <c r="S685" i="9" s="1"/>
  <c r="C146" i="26" s="1"/>
  <c r="K725" i="9"/>
  <c r="AL905" i="9"/>
  <c r="C202" i="34" s="1"/>
  <c r="C87" i="28"/>
  <c r="G110" i="28"/>
  <c r="C152" i="28"/>
  <c r="C184" i="28"/>
  <c r="E194" i="28"/>
  <c r="E203" i="28"/>
  <c r="E24" i="32"/>
  <c r="B35" i="32"/>
  <c r="G54" i="32"/>
  <c r="D98" i="32"/>
  <c r="O136" i="9"/>
  <c r="AA157" i="9"/>
  <c r="R33" i="34" s="1"/>
  <c r="AM202" i="9"/>
  <c r="D58" i="34" s="1"/>
  <c r="S213" i="9"/>
  <c r="S238" i="9" s="1"/>
  <c r="C50" i="26" s="1"/>
  <c r="W302" i="9"/>
  <c r="W327" i="9" s="1"/>
  <c r="G67" i="26" s="1"/>
  <c r="P303" i="9"/>
  <c r="H68" i="28" s="1"/>
  <c r="T403" i="9"/>
  <c r="T428" i="9" s="1"/>
  <c r="D96" i="26" s="1"/>
  <c r="L640" i="9"/>
  <c r="J675" i="9"/>
  <c r="R671" i="9" s="1"/>
  <c r="R694" i="9" s="1"/>
  <c r="B155" i="26" s="1"/>
  <c r="P728" i="9"/>
  <c r="N725" i="9"/>
  <c r="AN902" i="9"/>
  <c r="E199" i="34" s="1"/>
  <c r="S922" i="9"/>
  <c r="S945" i="9" s="1"/>
  <c r="C202" i="26" s="1"/>
  <c r="M58" i="37"/>
  <c r="G71" i="28"/>
  <c r="F109" i="28"/>
  <c r="E114" i="28"/>
  <c r="E137" i="28"/>
  <c r="F153" i="28"/>
  <c r="D23" i="32"/>
  <c r="G66" i="32"/>
  <c r="AN202" i="9"/>
  <c r="E58" i="34" s="1"/>
  <c r="M301" i="9"/>
  <c r="O400" i="9"/>
  <c r="O391" i="9" s="1"/>
  <c r="K371" i="9"/>
  <c r="AO477" i="9"/>
  <c r="F117" i="34" s="1"/>
  <c r="AM732" i="9"/>
  <c r="D164" i="34" s="1"/>
  <c r="M1002" i="9"/>
  <c r="N1005" i="9"/>
  <c r="AA61" i="35"/>
  <c r="AA55" i="35" s="1"/>
  <c r="B57" i="28"/>
  <c r="F59" i="28"/>
  <c r="F70" i="28"/>
  <c r="E108" i="28"/>
  <c r="C116" i="28"/>
  <c r="F128" i="28"/>
  <c r="C155" i="28"/>
  <c r="C169" i="28"/>
  <c r="C22" i="32"/>
  <c r="R4" i="27"/>
  <c r="AM192" i="9"/>
  <c r="D48" i="34" s="1"/>
  <c r="AL219" i="9"/>
  <c r="K59" i="34" s="1"/>
  <c r="W220" i="9"/>
  <c r="W245" i="9" s="1"/>
  <c r="G57" i="26" s="1"/>
  <c r="AM294" i="9"/>
  <c r="D78" i="34" s="1"/>
  <c r="AQ582" i="9"/>
  <c r="P133" i="34" s="1"/>
  <c r="AP652" i="9"/>
  <c r="G153" i="34" s="1"/>
  <c r="S668" i="9"/>
  <c r="S691" i="9" s="1"/>
  <c r="C152" i="26" s="1"/>
  <c r="S833" i="9"/>
  <c r="S856" i="9" s="1"/>
  <c r="C180" i="26" s="1"/>
  <c r="M996" i="9"/>
  <c r="K981" i="9"/>
  <c r="P981" i="9" s="1"/>
  <c r="N1003" i="9"/>
  <c r="L22" i="37"/>
  <c r="T22" i="37"/>
  <c r="T24" i="37" s="1"/>
  <c r="F49" i="28"/>
  <c r="E75" i="28"/>
  <c r="F147" i="28"/>
  <c r="D187" i="28"/>
  <c r="B21" i="32"/>
  <c r="P123" i="6"/>
  <c r="AN123" i="9"/>
  <c r="M35" i="34" s="1"/>
  <c r="AN285" i="9"/>
  <c r="E69" i="34" s="1"/>
  <c r="K320" i="9"/>
  <c r="T396" i="9"/>
  <c r="T421" i="9" s="1"/>
  <c r="D89" i="26" s="1"/>
  <c r="B59" i="20"/>
  <c r="G32" i="32"/>
  <c r="G107" i="32"/>
  <c r="D11" i="27"/>
  <c r="E13" i="38" s="1"/>
  <c r="E19" i="38" s="1"/>
  <c r="R120" i="9"/>
  <c r="R145" i="9" s="1"/>
  <c r="B29" i="26" s="1"/>
  <c r="AL125" i="9"/>
  <c r="K37" i="34" s="1"/>
  <c r="AO214" i="9"/>
  <c r="N54" i="34" s="1"/>
  <c r="K308" i="9"/>
  <c r="L320" i="9"/>
  <c r="T395" i="9"/>
  <c r="T420" i="9" s="1"/>
  <c r="D88" i="26" s="1"/>
  <c r="S399" i="9"/>
  <c r="S424" i="9" s="1"/>
  <c r="C92" i="26" s="1"/>
  <c r="AL651" i="9"/>
  <c r="C152" i="34" s="1"/>
  <c r="AK653" i="9"/>
  <c r="B154" i="34" s="1"/>
  <c r="AP654" i="9"/>
  <c r="G155" i="34" s="1"/>
  <c r="S832" i="9"/>
  <c r="S855" i="9" s="1"/>
  <c r="C179" i="26" s="1"/>
  <c r="AN906" i="9"/>
  <c r="E203" i="34" s="1"/>
  <c r="K999" i="9"/>
  <c r="P999" i="9" s="1"/>
  <c r="P1051" i="9"/>
  <c r="C78" i="37"/>
  <c r="D78" i="37" s="1"/>
  <c r="I78" i="37" s="1"/>
  <c r="I48" i="6"/>
  <c r="K160" i="9"/>
  <c r="AL124" i="9"/>
  <c r="K36" i="34" s="1"/>
  <c r="L161" i="9"/>
  <c r="AM125" i="9"/>
  <c r="L37" i="34" s="1"/>
  <c r="M162" i="9"/>
  <c r="AN126" i="9"/>
  <c r="M38" i="34" s="1"/>
  <c r="N163" i="9"/>
  <c r="AO127" i="9"/>
  <c r="N39" i="34" s="1"/>
  <c r="S211" i="9"/>
  <c r="S236" i="9" s="1"/>
  <c r="C48" i="26" s="1"/>
  <c r="AL192" i="9"/>
  <c r="C48" i="34" s="1"/>
  <c r="U212" i="9"/>
  <c r="U237" i="9" s="1"/>
  <c r="E49" i="26" s="1"/>
  <c r="AN193" i="9"/>
  <c r="E49" i="34" s="1"/>
  <c r="K250" i="9"/>
  <c r="AL214" i="9"/>
  <c r="K54" i="34" s="1"/>
  <c r="M252" i="9"/>
  <c r="AN216" i="9"/>
  <c r="M56" i="34" s="1"/>
  <c r="O254" i="9"/>
  <c r="AP218" i="9"/>
  <c r="O58" i="34" s="1"/>
  <c r="AO935" i="9"/>
  <c r="AO906" i="9"/>
  <c r="F203" i="34" s="1"/>
  <c r="S126" i="9"/>
  <c r="S151" i="9" s="1"/>
  <c r="C35" i="26" s="1"/>
  <c r="S129" i="9"/>
  <c r="S154" i="9" s="1"/>
  <c r="C38" i="26" s="1"/>
  <c r="U222" i="9"/>
  <c r="U247" i="9" s="1"/>
  <c r="E59" i="26" s="1"/>
  <c r="AN203" i="9"/>
  <c r="E59" i="34" s="1"/>
  <c r="R221" i="9"/>
  <c r="R217" i="9"/>
  <c r="R242" i="9" s="1"/>
  <c r="B54" i="26" s="1"/>
  <c r="R210" i="9"/>
  <c r="R235" i="9" s="1"/>
  <c r="B47" i="26" s="1"/>
  <c r="R215" i="9"/>
  <c r="R240" i="9" s="1"/>
  <c r="B52" i="26" s="1"/>
  <c r="J136" i="9"/>
  <c r="P665" i="9"/>
  <c r="H149" i="28" s="1"/>
  <c r="AK648" i="9"/>
  <c r="B149" i="34" s="1"/>
  <c r="S917" i="9"/>
  <c r="S940" i="9" s="1"/>
  <c r="C197" i="26" s="1"/>
  <c r="AL900" i="9"/>
  <c r="C197" i="34" s="1"/>
  <c r="AO932" i="9"/>
  <c r="AO903" i="9"/>
  <c r="F200" i="34" s="1"/>
  <c r="AM934" i="9"/>
  <c r="AM905" i="9"/>
  <c r="D202" i="34" s="1"/>
  <c r="L159" i="9"/>
  <c r="AM123" i="9"/>
  <c r="L35" i="34" s="1"/>
  <c r="N161" i="9"/>
  <c r="AO125" i="9"/>
  <c r="N37" i="34" s="1"/>
  <c r="AL489" i="9"/>
  <c r="K113" i="34" s="1"/>
  <c r="K481" i="9"/>
  <c r="AK123" i="9"/>
  <c r="J35" i="34" s="1"/>
  <c r="S125" i="9"/>
  <c r="S150" i="9" s="1"/>
  <c r="C34" i="26" s="1"/>
  <c r="S123" i="9"/>
  <c r="S148" i="9" s="1"/>
  <c r="C32" i="26" s="1"/>
  <c r="AM215" i="9"/>
  <c r="L55" i="34" s="1"/>
  <c r="AM200" i="9"/>
  <c r="D56" i="34" s="1"/>
  <c r="T219" i="9"/>
  <c r="T244" i="9" s="1"/>
  <c r="D56" i="26" s="1"/>
  <c r="R309" i="9"/>
  <c r="R334" i="9" s="1"/>
  <c r="B74" i="26" s="1"/>
  <c r="AK290" i="9"/>
  <c r="B74" i="34" s="1"/>
  <c r="T402" i="9"/>
  <c r="T427" i="9" s="1"/>
  <c r="D95" i="26" s="1"/>
  <c r="AM383" i="9"/>
  <c r="D95" i="34" s="1"/>
  <c r="AM765" i="9"/>
  <c r="AM736" i="9"/>
  <c r="D168" i="34" s="1"/>
  <c r="AP766" i="9"/>
  <c r="AP737" i="9"/>
  <c r="G169" i="34" s="1"/>
  <c r="AK767" i="9"/>
  <c r="AK738" i="9"/>
  <c r="B170" i="34" s="1"/>
  <c r="M67" i="35"/>
  <c r="M71" i="35" s="1"/>
  <c r="N122" i="6"/>
  <c r="N121" i="6" s="1"/>
  <c r="N83" i="6"/>
  <c r="E11" i="27" s="1"/>
  <c r="F13" i="38" s="1"/>
  <c r="F75" i="38" s="1"/>
  <c r="K68" i="35"/>
  <c r="K72" i="35" s="1"/>
  <c r="L123" i="6"/>
  <c r="L120" i="6" s="1"/>
  <c r="AH15" i="35"/>
  <c r="T123" i="6"/>
  <c r="T82" i="6"/>
  <c r="K8" i="27" s="1"/>
  <c r="Q51" i="37"/>
  <c r="Q45" i="37"/>
  <c r="Q47" i="37" s="1"/>
  <c r="U127" i="9"/>
  <c r="U152" i="9" s="1"/>
  <c r="E36" i="26" s="1"/>
  <c r="AN108" i="9"/>
  <c r="E36" i="34" s="1"/>
  <c r="S130" i="9"/>
  <c r="S155" i="9" s="1"/>
  <c r="C39" i="26" s="1"/>
  <c r="M158" i="9"/>
  <c r="M142" i="9"/>
  <c r="AN121" i="9" s="1"/>
  <c r="M33" i="34" s="1"/>
  <c r="N159" i="9"/>
  <c r="AO123" i="9"/>
  <c r="N35" i="34" s="1"/>
  <c r="J163" i="9"/>
  <c r="AK127" i="9"/>
  <c r="J39" i="34" s="1"/>
  <c r="W305" i="9"/>
  <c r="W330" i="9" s="1"/>
  <c r="G70" i="26" s="1"/>
  <c r="AP286" i="9"/>
  <c r="G70" i="34" s="1"/>
  <c r="N400" i="9"/>
  <c r="N415" i="9" s="1"/>
  <c r="P1050" i="9"/>
  <c r="K988" i="9"/>
  <c r="K1005" i="9" s="1"/>
  <c r="W126" i="9"/>
  <c r="W151" i="9" s="1"/>
  <c r="G35" i="26" s="1"/>
  <c r="U123" i="9"/>
  <c r="U148" i="9" s="1"/>
  <c r="E32" i="26" s="1"/>
  <c r="U119" i="9"/>
  <c r="U144" i="9" s="1"/>
  <c r="E28" i="26" s="1"/>
  <c r="AN192" i="9"/>
  <c r="E48" i="34" s="1"/>
  <c r="P289" i="9"/>
  <c r="P297" i="9" s="1"/>
  <c r="U210" i="9"/>
  <c r="U235" i="9" s="1"/>
  <c r="E47" i="26" s="1"/>
  <c r="W218" i="9"/>
  <c r="W243" i="9" s="1"/>
  <c r="G55" i="26" s="1"/>
  <c r="AP199" i="9"/>
  <c r="G55" i="34" s="1"/>
  <c r="U394" i="9"/>
  <c r="U419" i="9" s="1"/>
  <c r="E87" i="26" s="1"/>
  <c r="AN375" i="9"/>
  <c r="E87" i="34" s="1"/>
  <c r="M393" i="9"/>
  <c r="E86" i="28" s="1"/>
  <c r="AK849" i="9"/>
  <c r="AK820" i="9"/>
  <c r="B184" i="34" s="1"/>
  <c r="AN850" i="9"/>
  <c r="AN821" i="9"/>
  <c r="E185" i="34" s="1"/>
  <c r="S4" i="27"/>
  <c r="AN107" i="9"/>
  <c r="E35" i="34" s="1"/>
  <c r="O228" i="9"/>
  <c r="W311" i="9"/>
  <c r="W336" i="9" s="1"/>
  <c r="G76" i="26" s="1"/>
  <c r="W307" i="9"/>
  <c r="W332" i="9" s="1"/>
  <c r="G72" i="26" s="1"/>
  <c r="M117" i="9"/>
  <c r="E26" i="28" s="1"/>
  <c r="R122" i="9"/>
  <c r="R147" i="9" s="1"/>
  <c r="B31" i="26" s="1"/>
  <c r="R129" i="9"/>
  <c r="R154" i="9" s="1"/>
  <c r="B38" i="26" s="1"/>
  <c r="V127" i="9"/>
  <c r="V152" i="9" s="1"/>
  <c r="F36" i="26" s="1"/>
  <c r="AG159" i="9"/>
  <c r="X35" i="34" s="1"/>
  <c r="L204" i="9"/>
  <c r="L186" i="9" s="1"/>
  <c r="T211" i="9"/>
  <c r="T236" i="9" s="1"/>
  <c r="D48" i="26" s="1"/>
  <c r="AL218" i="9"/>
  <c r="K58" i="34" s="1"/>
  <c r="T221" i="9"/>
  <c r="T246" i="9" s="1"/>
  <c r="D58" i="26" s="1"/>
  <c r="AA249" i="9"/>
  <c r="R53" i="34" s="1"/>
  <c r="AQ306" i="9"/>
  <c r="P74" i="34" s="1"/>
  <c r="R303" i="9"/>
  <c r="R328" i="9" s="1"/>
  <c r="B68" i="26" s="1"/>
  <c r="S309" i="9"/>
  <c r="S334" i="9" s="1"/>
  <c r="C74" i="26" s="1"/>
  <c r="U314" i="9"/>
  <c r="U339" i="9" s="1"/>
  <c r="E79" i="26" s="1"/>
  <c r="O388" i="9"/>
  <c r="O390" i="9" s="1"/>
  <c r="AQ399" i="9"/>
  <c r="P95" i="34" s="1"/>
  <c r="M502" i="9"/>
  <c r="U498" i="9" s="1"/>
  <c r="U523" i="9" s="1"/>
  <c r="E119" i="26" s="1"/>
  <c r="S495" i="9"/>
  <c r="S520" i="9" s="1"/>
  <c r="C116" i="26" s="1"/>
  <c r="J590" i="9"/>
  <c r="R580" i="9" s="1"/>
  <c r="R603" i="9" s="1"/>
  <c r="B131" i="26" s="1"/>
  <c r="J611" i="9"/>
  <c r="S580" i="9"/>
  <c r="S603" i="9" s="1"/>
  <c r="C131" i="26" s="1"/>
  <c r="AQ667" i="9"/>
  <c r="P151" i="34" s="1"/>
  <c r="S665" i="9"/>
  <c r="S688" i="9" s="1"/>
  <c r="C149" i="26" s="1"/>
  <c r="AK736" i="9"/>
  <c r="B168" i="34" s="1"/>
  <c r="AM766" i="9"/>
  <c r="L844" i="9"/>
  <c r="T830" i="9" s="1"/>
  <c r="AP820" i="9"/>
  <c r="G184" i="34" s="1"/>
  <c r="AQ839" i="9"/>
  <c r="P186" i="34" s="1"/>
  <c r="O907" i="9"/>
  <c r="AQ923" i="9"/>
  <c r="P203" i="34" s="1"/>
  <c r="K1040" i="9"/>
  <c r="T68" i="35"/>
  <c r="T72" i="35" s="1"/>
  <c r="U22" i="37"/>
  <c r="R22" i="37"/>
  <c r="R24" i="37" s="1"/>
  <c r="U303" i="9"/>
  <c r="U328" i="9" s="1"/>
  <c r="E68" i="26" s="1"/>
  <c r="AN489" i="9"/>
  <c r="M113" i="34" s="1"/>
  <c r="AQ491" i="9"/>
  <c r="P115" i="34" s="1"/>
  <c r="AL559" i="9"/>
  <c r="C127" i="34" s="1"/>
  <c r="P580" i="9"/>
  <c r="H131" i="28" s="1"/>
  <c r="S664" i="9"/>
  <c r="S687" i="9" s="1"/>
  <c r="C148" i="26" s="1"/>
  <c r="P818" i="9"/>
  <c r="P825" i="9" s="1"/>
  <c r="R121" i="9"/>
  <c r="R146" i="9" s="1"/>
  <c r="B30" i="26" s="1"/>
  <c r="AK124" i="9"/>
  <c r="J36" i="34" s="1"/>
  <c r="R126" i="9"/>
  <c r="AL126" i="9"/>
  <c r="K38" i="34" s="1"/>
  <c r="S128" i="9"/>
  <c r="S153" i="9" s="1"/>
  <c r="C37" i="26" s="1"/>
  <c r="AN199" i="9"/>
  <c r="E55" i="34" s="1"/>
  <c r="AP214" i="9"/>
  <c r="O54" i="34" s="1"/>
  <c r="AL216" i="9"/>
  <c r="K56" i="34" s="1"/>
  <c r="N216" i="9"/>
  <c r="F53" i="28" s="1"/>
  <c r="AK291" i="9"/>
  <c r="B75" i="34" s="1"/>
  <c r="K301" i="9"/>
  <c r="AL282" i="9" s="1"/>
  <c r="C66" i="34" s="1"/>
  <c r="J371" i="9"/>
  <c r="T401" i="9"/>
  <c r="T426" i="9" s="1"/>
  <c r="D94" i="26" s="1"/>
  <c r="N502" i="9"/>
  <c r="V490" i="9" s="1"/>
  <c r="V515" i="9" s="1"/>
  <c r="F111" i="26" s="1"/>
  <c r="S498" i="9"/>
  <c r="S523" i="9" s="1"/>
  <c r="C119" i="26" s="1"/>
  <c r="AQ584" i="9"/>
  <c r="P135" i="34" s="1"/>
  <c r="S578" i="9"/>
  <c r="S601" i="9" s="1"/>
  <c r="C129" i="26" s="1"/>
  <c r="J640" i="9"/>
  <c r="AL647" i="9"/>
  <c r="C148" i="34" s="1"/>
  <c r="AM654" i="9"/>
  <c r="D155" i="34" s="1"/>
  <c r="S663" i="9"/>
  <c r="S686" i="9" s="1"/>
  <c r="C147" i="26" s="1"/>
  <c r="AL739" i="9"/>
  <c r="C171" i="34" s="1"/>
  <c r="S756" i="9"/>
  <c r="S779" i="9" s="1"/>
  <c r="C171" i="26" s="1"/>
  <c r="N824" i="9"/>
  <c r="N808" i="9" s="1"/>
  <c r="K865" i="9"/>
  <c r="N948" i="9"/>
  <c r="AK905" i="9"/>
  <c r="B202" i="34" s="1"/>
  <c r="S915" i="9"/>
  <c r="S938" i="9" s="1"/>
  <c r="C195" i="26" s="1"/>
  <c r="L978" i="9"/>
  <c r="L991" i="9" s="1"/>
  <c r="J998" i="9"/>
  <c r="J995" i="9" s="1"/>
  <c r="K989" i="9"/>
  <c r="K1006" i="9" s="1"/>
  <c r="S1006" i="9" s="1"/>
  <c r="S1029" i="9" s="1"/>
  <c r="N1006" i="9"/>
  <c r="H20" i="35"/>
  <c r="AE11" i="35"/>
  <c r="X20" i="35"/>
  <c r="X69" i="35" s="1"/>
  <c r="D40" i="35"/>
  <c r="L40" i="35"/>
  <c r="T40" i="35"/>
  <c r="L51" i="37"/>
  <c r="T51" i="37"/>
  <c r="U122" i="9"/>
  <c r="U147" i="9" s="1"/>
  <c r="E31" i="26" s="1"/>
  <c r="W127" i="9"/>
  <c r="W152" i="9" s="1"/>
  <c r="G36" i="26" s="1"/>
  <c r="U129" i="9"/>
  <c r="U154" i="9" s="1"/>
  <c r="E38" i="26" s="1"/>
  <c r="R219" i="9"/>
  <c r="R244" i="9" s="1"/>
  <c r="B56" i="26" s="1"/>
  <c r="AN286" i="9"/>
  <c r="E70" i="34" s="1"/>
  <c r="AQ309" i="9"/>
  <c r="P77" i="34" s="1"/>
  <c r="U310" i="9"/>
  <c r="U335" i="9" s="1"/>
  <c r="E75" i="26" s="1"/>
  <c r="U313" i="9"/>
  <c r="U338" i="9" s="1"/>
  <c r="E78" i="26" s="1"/>
  <c r="M320" i="9"/>
  <c r="L279" i="9"/>
  <c r="U398" i="9"/>
  <c r="U423" i="9" s="1"/>
  <c r="E91" i="26" s="1"/>
  <c r="U401" i="9"/>
  <c r="U426" i="9" s="1"/>
  <c r="E94" i="26" s="1"/>
  <c r="U402" i="9"/>
  <c r="U427" i="9" s="1"/>
  <c r="E95" i="26" s="1"/>
  <c r="U404" i="9"/>
  <c r="U429" i="9" s="1"/>
  <c r="E97" i="26" s="1"/>
  <c r="S494" i="9"/>
  <c r="S519" i="9" s="1"/>
  <c r="C115" i="26" s="1"/>
  <c r="S577" i="9"/>
  <c r="S600" i="9" s="1"/>
  <c r="C128" i="26" s="1"/>
  <c r="J660" i="9"/>
  <c r="B144" i="28" s="1"/>
  <c r="AL735" i="9"/>
  <c r="C167" i="34" s="1"/>
  <c r="AO736" i="9"/>
  <c r="F168" i="34" s="1"/>
  <c r="AL816" i="9"/>
  <c r="C180" i="34" s="1"/>
  <c r="AQ837" i="9"/>
  <c r="P184" i="34" s="1"/>
  <c r="AK821" i="9"/>
  <c r="B185" i="34" s="1"/>
  <c r="AN822" i="9"/>
  <c r="E186" i="34" s="1"/>
  <c r="S834" i="9"/>
  <c r="S857" i="9" s="1"/>
  <c r="C181" i="26" s="1"/>
  <c r="S914" i="9"/>
  <c r="S937" i="9" s="1"/>
  <c r="C194" i="26" s="1"/>
  <c r="M997" i="9"/>
  <c r="S1000" i="9"/>
  <c r="S1023" i="9" s="1"/>
  <c r="I20" i="35"/>
  <c r="Q20" i="35"/>
  <c r="Q22" i="35" s="1"/>
  <c r="Y20" i="35"/>
  <c r="Y22" i="35" s="1"/>
  <c r="E40" i="35"/>
  <c r="M40" i="35"/>
  <c r="U40" i="35"/>
  <c r="AB96" i="6"/>
  <c r="L89" i="6"/>
  <c r="C19" i="27" s="1"/>
  <c r="P98" i="9"/>
  <c r="S119" i="9"/>
  <c r="S144" i="9" s="1"/>
  <c r="C28" i="26" s="1"/>
  <c r="S120" i="9"/>
  <c r="S145" i="9" s="1"/>
  <c r="C29" i="26" s="1"/>
  <c r="U128" i="9"/>
  <c r="U153" i="9" s="1"/>
  <c r="E37" i="26" s="1"/>
  <c r="L136" i="9"/>
  <c r="AL201" i="9"/>
  <c r="C57" i="34" s="1"/>
  <c r="AM219" i="9"/>
  <c r="L59" i="34" s="1"/>
  <c r="AE249" i="9"/>
  <c r="V53" i="34" s="1"/>
  <c r="AF249" i="9"/>
  <c r="W53" i="34" s="1"/>
  <c r="U302" i="9"/>
  <c r="U327" i="9" s="1"/>
  <c r="E67" i="26" s="1"/>
  <c r="U312" i="9"/>
  <c r="U337" i="9" s="1"/>
  <c r="E77" i="26" s="1"/>
  <c r="AQ403" i="9"/>
  <c r="P99" i="34" s="1"/>
  <c r="S395" i="9"/>
  <c r="S420" i="9" s="1"/>
  <c r="C88" i="26" s="1"/>
  <c r="U397" i="9"/>
  <c r="U422" i="9" s="1"/>
  <c r="E90" i="26" s="1"/>
  <c r="S403" i="9"/>
  <c r="S428" i="9" s="1"/>
  <c r="C96" i="26" s="1"/>
  <c r="N611" i="9"/>
  <c r="AK644" i="9"/>
  <c r="B145" i="34" s="1"/>
  <c r="M660" i="9"/>
  <c r="E144" i="28" s="1"/>
  <c r="O675" i="9"/>
  <c r="W668" i="9" s="1"/>
  <c r="W691" i="9" s="1"/>
  <c r="G152" i="26" s="1"/>
  <c r="AM738" i="9"/>
  <c r="D170" i="34" s="1"/>
  <c r="M865" i="9"/>
  <c r="AQ919" i="9"/>
  <c r="P199" i="34" s="1"/>
  <c r="S913" i="9"/>
  <c r="S936" i="9" s="1"/>
  <c r="C193" i="26" s="1"/>
  <c r="S920" i="9"/>
  <c r="S943" i="9" s="1"/>
  <c r="C200" i="26" s="1"/>
  <c r="S923" i="9"/>
  <c r="S946" i="9" s="1"/>
  <c r="C203" i="26" s="1"/>
  <c r="N996" i="9"/>
  <c r="M1006" i="9"/>
  <c r="Z64" i="35"/>
  <c r="Q22" i="37"/>
  <c r="Q2" i="37" s="1"/>
  <c r="K463" i="9"/>
  <c r="N865" i="9"/>
  <c r="AL904" i="9"/>
  <c r="C201" i="34" s="1"/>
  <c r="S999" i="9"/>
  <c r="S1022" i="9" s="1"/>
  <c r="C20" i="35"/>
  <c r="G40" i="35"/>
  <c r="O40" i="35"/>
  <c r="W40" i="35"/>
  <c r="G45" i="37"/>
  <c r="G65" i="37" s="1"/>
  <c r="O45" i="37"/>
  <c r="K112" i="9"/>
  <c r="K117" i="9"/>
  <c r="U120" i="9"/>
  <c r="U145" i="9" s="1"/>
  <c r="E29" i="26" s="1"/>
  <c r="R127" i="9"/>
  <c r="R152" i="9" s="1"/>
  <c r="B36" i="26" s="1"/>
  <c r="AM127" i="9"/>
  <c r="L39" i="34" s="1"/>
  <c r="W128" i="9"/>
  <c r="W153" i="9" s="1"/>
  <c r="G37" i="26" s="1"/>
  <c r="U130" i="9"/>
  <c r="U155" i="9" s="1"/>
  <c r="E39" i="26" s="1"/>
  <c r="J204" i="9"/>
  <c r="AK200" i="9"/>
  <c r="B56" i="34" s="1"/>
  <c r="R211" i="9"/>
  <c r="R236" i="9" s="1"/>
  <c r="B48" i="26" s="1"/>
  <c r="AO219" i="9"/>
  <c r="N59" i="34" s="1"/>
  <c r="AK287" i="9"/>
  <c r="B71" i="34" s="1"/>
  <c r="W306" i="9"/>
  <c r="W331" i="9" s="1"/>
  <c r="G71" i="26" s="1"/>
  <c r="U311" i="9"/>
  <c r="U336" i="9" s="1"/>
  <c r="E76" i="26" s="1"/>
  <c r="V309" i="9"/>
  <c r="V334" i="9" s="1"/>
  <c r="F74" i="26" s="1"/>
  <c r="AN377" i="9"/>
  <c r="E89" i="34" s="1"/>
  <c r="T394" i="9"/>
  <c r="U395" i="9"/>
  <c r="U420" i="9" s="1"/>
  <c r="E88" i="26" s="1"/>
  <c r="T399" i="9"/>
  <c r="T424" i="9" s="1"/>
  <c r="D92" i="26" s="1"/>
  <c r="S402" i="9"/>
  <c r="S427" i="9" s="1"/>
  <c r="C95" i="26" s="1"/>
  <c r="U403" i="9"/>
  <c r="U428" i="9" s="1"/>
  <c r="E96" i="26" s="1"/>
  <c r="V403" i="9"/>
  <c r="V428" i="9" s="1"/>
  <c r="F96" i="26" s="1"/>
  <c r="P418" i="9"/>
  <c r="H54" i="32" s="1"/>
  <c r="M485" i="9"/>
  <c r="E106" i="28" s="1"/>
  <c r="N463" i="9"/>
  <c r="O570" i="9"/>
  <c r="AL560" i="9"/>
  <c r="C128" i="34" s="1"/>
  <c r="AQ753" i="9"/>
  <c r="P168" i="34" s="1"/>
  <c r="M725" i="9"/>
  <c r="O865" i="9"/>
  <c r="N998" i="9"/>
  <c r="H45" i="37"/>
  <c r="P45" i="37"/>
  <c r="L58" i="37"/>
  <c r="T58" i="37"/>
  <c r="M113" i="9"/>
  <c r="N117" i="9"/>
  <c r="F26" i="28" s="1"/>
  <c r="AO99" i="9"/>
  <c r="F27" i="34" s="1"/>
  <c r="U125" i="9"/>
  <c r="U150" i="9" s="1"/>
  <c r="E34" i="26" s="1"/>
  <c r="M124" i="9"/>
  <c r="AN106" i="9"/>
  <c r="E34" i="34" s="1"/>
  <c r="T127" i="9"/>
  <c r="T152" i="9" s="1"/>
  <c r="D36" i="26" s="1"/>
  <c r="AM108" i="9"/>
  <c r="D36" i="34" s="1"/>
  <c r="L124" i="9"/>
  <c r="AM105" i="9" s="1"/>
  <c r="D33" i="34" s="1"/>
  <c r="P985" i="9"/>
  <c r="K1004" i="9"/>
  <c r="S1004" i="9" s="1"/>
  <c r="S1027" i="9" s="1"/>
  <c r="P987" i="9"/>
  <c r="P190" i="9"/>
  <c r="AO644" i="9"/>
  <c r="F145" i="34" s="1"/>
  <c r="F145" i="28"/>
  <c r="F118" i="28"/>
  <c r="G60" i="20"/>
  <c r="F69" i="28"/>
  <c r="W118" i="9"/>
  <c r="AP99" i="9"/>
  <c r="G27" i="34" s="1"/>
  <c r="N124" i="9"/>
  <c r="AO106" i="9"/>
  <c r="F34" i="34" s="1"/>
  <c r="W212" i="9"/>
  <c r="W237" i="9" s="1"/>
  <c r="G49" i="26" s="1"/>
  <c r="AP193" i="9"/>
  <c r="G49" i="34" s="1"/>
  <c r="P214" i="9"/>
  <c r="H51" i="28" s="1"/>
  <c r="R214" i="9"/>
  <c r="R239" i="9" s="1"/>
  <c r="B51" i="26" s="1"/>
  <c r="J209" i="9"/>
  <c r="AK195" i="9"/>
  <c r="B51" i="34" s="1"/>
  <c r="M216" i="9"/>
  <c r="AN198" i="9"/>
  <c r="E54" i="34" s="1"/>
  <c r="W222" i="9"/>
  <c r="W247" i="9" s="1"/>
  <c r="G59" i="26" s="1"/>
  <c r="AP203" i="9"/>
  <c r="G59" i="34" s="1"/>
  <c r="M250" i="9"/>
  <c r="AN214" i="9"/>
  <c r="M54" i="34" s="1"/>
  <c r="E31" i="32"/>
  <c r="N251" i="9"/>
  <c r="AO215" i="9"/>
  <c r="N55" i="34" s="1"/>
  <c r="F32" i="32"/>
  <c r="O252" i="9"/>
  <c r="AP216" i="9"/>
  <c r="O56" i="34" s="1"/>
  <c r="G33" i="32"/>
  <c r="J255" i="9"/>
  <c r="B36" i="32"/>
  <c r="P241" i="9"/>
  <c r="H30" i="31" s="1"/>
  <c r="B30" i="31"/>
  <c r="K296" i="9"/>
  <c r="K278" i="9" s="1"/>
  <c r="O117" i="9"/>
  <c r="G26" i="28" s="1"/>
  <c r="AP100" i="9"/>
  <c r="G28" i="34" s="1"/>
  <c r="O492" i="9"/>
  <c r="O507" i="9" s="1"/>
  <c r="AP475" i="9"/>
  <c r="G115" i="34" s="1"/>
  <c r="E117" i="28"/>
  <c r="R396" i="9"/>
  <c r="R421" i="9" s="1"/>
  <c r="B89" i="26" s="1"/>
  <c r="AK377" i="9"/>
  <c r="B89" i="34" s="1"/>
  <c r="S397" i="9"/>
  <c r="S422" i="9" s="1"/>
  <c r="C90" i="26" s="1"/>
  <c r="AL378" i="9"/>
  <c r="C90" i="34" s="1"/>
  <c r="T398" i="9"/>
  <c r="T423" i="9" s="1"/>
  <c r="D91" i="26" s="1"/>
  <c r="AM379" i="9"/>
  <c r="D91" i="34" s="1"/>
  <c r="T404" i="9"/>
  <c r="T429" i="9" s="1"/>
  <c r="D97" i="26" s="1"/>
  <c r="AM385" i="9"/>
  <c r="D97" i="34" s="1"/>
  <c r="U405" i="9"/>
  <c r="U430" i="9" s="1"/>
  <c r="E98" i="26" s="1"/>
  <c r="AN386" i="9"/>
  <c r="E98" i="34" s="1"/>
  <c r="G28" i="28"/>
  <c r="D36" i="28"/>
  <c r="W210" i="9"/>
  <c r="W235" i="9" s="1"/>
  <c r="G47" i="26" s="1"/>
  <c r="O209" i="9"/>
  <c r="W211" i="9"/>
  <c r="W236" i="9" s="1"/>
  <c r="G48" i="26" s="1"/>
  <c r="AP192" i="9"/>
  <c r="G48" i="34" s="1"/>
  <c r="R395" i="9"/>
  <c r="AK376" i="9"/>
  <c r="B88" i="34" s="1"/>
  <c r="S396" i="9"/>
  <c r="S421" i="9" s="1"/>
  <c r="C89" i="26" s="1"/>
  <c r="AL377" i="9"/>
  <c r="C89" i="34" s="1"/>
  <c r="T397" i="9"/>
  <c r="T422" i="9" s="1"/>
  <c r="D90" i="26" s="1"/>
  <c r="AM378" i="9"/>
  <c r="D90" i="34" s="1"/>
  <c r="P403" i="9"/>
  <c r="H96" i="28" s="1"/>
  <c r="R403" i="9"/>
  <c r="AK384" i="9"/>
  <c r="B96" i="34" s="1"/>
  <c r="P495" i="9"/>
  <c r="H116" i="28" s="1"/>
  <c r="AK476" i="9"/>
  <c r="B116" i="34" s="1"/>
  <c r="B116" i="28"/>
  <c r="AQ585" i="9"/>
  <c r="P136" i="34" s="1"/>
  <c r="F27" i="28"/>
  <c r="W122" i="9"/>
  <c r="W147" i="9" s="1"/>
  <c r="G31" i="26" s="1"/>
  <c r="AP103" i="9"/>
  <c r="G31" i="34" s="1"/>
  <c r="T307" i="9"/>
  <c r="T332" i="9" s="1"/>
  <c r="D72" i="26" s="1"/>
  <c r="T305" i="9"/>
  <c r="T330" i="9" s="1"/>
  <c r="D70" i="26" s="1"/>
  <c r="T314" i="9"/>
  <c r="T339" i="9" s="1"/>
  <c r="D79" i="26" s="1"/>
  <c r="L228" i="9"/>
  <c r="T310" i="9"/>
  <c r="T335" i="9" s="1"/>
  <c r="D75" i="26" s="1"/>
  <c r="AP101" i="9"/>
  <c r="G29" i="34" s="1"/>
  <c r="W120" i="9"/>
  <c r="W145" i="9" s="1"/>
  <c r="G29" i="26" s="1"/>
  <c r="AL108" i="9"/>
  <c r="C36" i="34" s="1"/>
  <c r="S127" i="9"/>
  <c r="S152" i="9" s="1"/>
  <c r="C36" i="26" s="1"/>
  <c r="K124" i="9"/>
  <c r="AL105" i="9" s="1"/>
  <c r="C33" i="34" s="1"/>
  <c r="B88" i="28"/>
  <c r="P122" i="9"/>
  <c r="W121" i="9"/>
  <c r="W146" i="9" s="1"/>
  <c r="G30" i="26" s="1"/>
  <c r="AP102" i="9"/>
  <c r="G30" i="34" s="1"/>
  <c r="T123" i="9"/>
  <c r="T148" i="9" s="1"/>
  <c r="D32" i="26" s="1"/>
  <c r="T121" i="9"/>
  <c r="T146" i="9" s="1"/>
  <c r="D30" i="26" s="1"/>
  <c r="AK99" i="9"/>
  <c r="B27" i="34" s="1"/>
  <c r="AL100" i="9"/>
  <c r="C28" i="34" s="1"/>
  <c r="AM101" i="9"/>
  <c r="D29" i="34" s="1"/>
  <c r="AN102" i="9"/>
  <c r="E30" i="34" s="1"/>
  <c r="AP108" i="9"/>
  <c r="G36" i="34" s="1"/>
  <c r="S118" i="9"/>
  <c r="S143" i="9" s="1"/>
  <c r="C27" i="26" s="1"/>
  <c r="S122" i="9"/>
  <c r="S147" i="9" s="1"/>
  <c r="C31" i="26" s="1"/>
  <c r="AM124" i="9"/>
  <c r="L36" i="34" s="1"/>
  <c r="W125" i="9"/>
  <c r="W150" i="9" s="1"/>
  <c r="G34" i="26" s="1"/>
  <c r="K142" i="9"/>
  <c r="AL121" i="9" s="1"/>
  <c r="K33" i="34" s="1"/>
  <c r="P213" i="9"/>
  <c r="H50" i="28" s="1"/>
  <c r="AP202" i="9"/>
  <c r="G58" i="34" s="1"/>
  <c r="W221" i="9"/>
  <c r="W246" i="9" s="1"/>
  <c r="G58" i="26" s="1"/>
  <c r="W304" i="9"/>
  <c r="W329" i="9" s="1"/>
  <c r="G69" i="26" s="1"/>
  <c r="AP285" i="9"/>
  <c r="G69" i="34" s="1"/>
  <c r="J389" i="9"/>
  <c r="AN124" i="9"/>
  <c r="M36" i="34" s="1"/>
  <c r="T130" i="9"/>
  <c r="T155" i="9" s="1"/>
  <c r="D39" i="26" s="1"/>
  <c r="L142" i="9"/>
  <c r="L157" i="9" s="1"/>
  <c r="P143" i="9"/>
  <c r="H19" i="32" s="1"/>
  <c r="J142" i="9"/>
  <c r="J157" i="9" s="1"/>
  <c r="O163" i="9"/>
  <c r="AP127" i="9"/>
  <c r="O39" i="34" s="1"/>
  <c r="AG162" i="9"/>
  <c r="X38" i="34" s="1"/>
  <c r="R212" i="9"/>
  <c r="R237" i="9" s="1"/>
  <c r="B49" i="26" s="1"/>
  <c r="P212" i="9"/>
  <c r="H49" i="28" s="1"/>
  <c r="AK193" i="9"/>
  <c r="B49" i="34" s="1"/>
  <c r="K253" i="9"/>
  <c r="AL217" i="9"/>
  <c r="K57" i="34" s="1"/>
  <c r="L254" i="9"/>
  <c r="AM218" i="9"/>
  <c r="L58" i="34" s="1"/>
  <c r="AG253" i="9"/>
  <c r="X57" i="34" s="1"/>
  <c r="K480" i="9"/>
  <c r="L611" i="9"/>
  <c r="L571" i="9"/>
  <c r="L555" i="9"/>
  <c r="J835" i="9"/>
  <c r="B182" i="28" s="1"/>
  <c r="AK819" i="9"/>
  <c r="B183" i="34" s="1"/>
  <c r="AN849" i="9"/>
  <c r="AN820" i="9"/>
  <c r="E184" i="34" s="1"/>
  <c r="M835" i="9"/>
  <c r="AL851" i="9"/>
  <c r="AL822" i="9"/>
  <c r="C186" i="34" s="1"/>
  <c r="P895" i="9"/>
  <c r="P979" i="9"/>
  <c r="M112" i="9"/>
  <c r="M94" i="9" s="1"/>
  <c r="T126" i="9"/>
  <c r="T151" i="9" s="1"/>
  <c r="D35" i="26" s="1"/>
  <c r="T129" i="9"/>
  <c r="T154" i="9" s="1"/>
  <c r="D38" i="26" s="1"/>
  <c r="P197" i="9"/>
  <c r="P205" i="9" s="1"/>
  <c r="S222" i="9"/>
  <c r="S247" i="9" s="1"/>
  <c r="C59" i="26" s="1"/>
  <c r="AL203" i="9"/>
  <c r="C59" i="34" s="1"/>
  <c r="O296" i="9"/>
  <c r="S306" i="9"/>
  <c r="S331" i="9" s="1"/>
  <c r="C71" i="26" s="1"/>
  <c r="AL287" i="9"/>
  <c r="C71" i="34" s="1"/>
  <c r="P313" i="9"/>
  <c r="H78" i="28" s="1"/>
  <c r="R313" i="9"/>
  <c r="R338" i="9" s="1"/>
  <c r="B78" i="26" s="1"/>
  <c r="AK294" i="9"/>
  <c r="B78" i="34" s="1"/>
  <c r="O485" i="9"/>
  <c r="AP466" i="9" s="1"/>
  <c r="G106" i="34" s="1"/>
  <c r="AP467" i="9"/>
  <c r="G107" i="34" s="1"/>
  <c r="P488" i="9"/>
  <c r="H109" i="28" s="1"/>
  <c r="AK469" i="9"/>
  <c r="B109" i="34" s="1"/>
  <c r="M611" i="9"/>
  <c r="M571" i="9"/>
  <c r="M555" i="9"/>
  <c r="N581" i="9"/>
  <c r="N595" i="9" s="1"/>
  <c r="AO565" i="9"/>
  <c r="F133" i="34" s="1"/>
  <c r="AP568" i="9"/>
  <c r="G136" i="34" s="1"/>
  <c r="AL848" i="9"/>
  <c r="S836" i="9"/>
  <c r="S859" i="9" s="1"/>
  <c r="C183" i="26" s="1"/>
  <c r="AL819" i="9"/>
  <c r="C183" i="34" s="1"/>
  <c r="AL109" i="9"/>
  <c r="C37" i="34" s="1"/>
  <c r="AM110" i="9"/>
  <c r="D38" i="34" s="1"/>
  <c r="T119" i="9"/>
  <c r="T144" i="9" s="1"/>
  <c r="D28" i="26" s="1"/>
  <c r="P121" i="9"/>
  <c r="T122" i="9"/>
  <c r="T147" i="9" s="1"/>
  <c r="D31" i="26" s="1"/>
  <c r="AM122" i="9"/>
  <c r="L34" i="34" s="1"/>
  <c r="P125" i="9"/>
  <c r="H34" i="28" s="1"/>
  <c r="T128" i="9"/>
  <c r="T153" i="9" s="1"/>
  <c r="D37" i="26" s="1"/>
  <c r="S210" i="9"/>
  <c r="AL191" i="9"/>
  <c r="C47" i="34" s="1"/>
  <c r="W214" i="9"/>
  <c r="W239" i="9" s="1"/>
  <c r="G51" i="26" s="1"/>
  <c r="AP195" i="9"/>
  <c r="G51" i="34" s="1"/>
  <c r="T222" i="9"/>
  <c r="T247" i="9" s="1"/>
  <c r="D59" i="26" s="1"/>
  <c r="AM203" i="9"/>
  <c r="D59" i="34" s="1"/>
  <c r="T306" i="9"/>
  <c r="T331" i="9" s="1"/>
  <c r="D71" i="26" s="1"/>
  <c r="AM287" i="9"/>
  <c r="D71" i="34" s="1"/>
  <c r="R312" i="9"/>
  <c r="AK293" i="9"/>
  <c r="B77" i="34" s="1"/>
  <c r="S313" i="9"/>
  <c r="S338" i="9" s="1"/>
  <c r="C78" i="26" s="1"/>
  <c r="AL294" i="9"/>
  <c r="C78" i="34" s="1"/>
  <c r="P333" i="9"/>
  <c r="J279" i="9"/>
  <c r="W399" i="9"/>
  <c r="W424" i="9" s="1"/>
  <c r="G92" i="26" s="1"/>
  <c r="W403" i="9"/>
  <c r="W428" i="9" s="1"/>
  <c r="G96" i="26" s="1"/>
  <c r="W397" i="9"/>
  <c r="W422" i="9" s="1"/>
  <c r="G90" i="26" s="1"/>
  <c r="W405" i="9"/>
  <c r="W430" i="9" s="1"/>
  <c r="G98" i="26" s="1"/>
  <c r="W401" i="9"/>
  <c r="W426" i="9" s="1"/>
  <c r="G94" i="26" s="1"/>
  <c r="O320" i="9"/>
  <c r="J485" i="9"/>
  <c r="AK466" i="9" s="1"/>
  <c r="B106" i="34" s="1"/>
  <c r="M581" i="9"/>
  <c r="E132" i="28" s="1"/>
  <c r="AN567" i="9"/>
  <c r="E135" i="34" s="1"/>
  <c r="AO679" i="9"/>
  <c r="N666" i="9"/>
  <c r="F150" i="28" s="1"/>
  <c r="AO650" i="9"/>
  <c r="F151" i="34" s="1"/>
  <c r="AK681" i="9"/>
  <c r="AK652" i="9"/>
  <c r="B153" i="34" s="1"/>
  <c r="AO764" i="9"/>
  <c r="AO735" i="9"/>
  <c r="F167" i="34" s="1"/>
  <c r="N829" i="9"/>
  <c r="F176" i="28" s="1"/>
  <c r="AO813" i="9"/>
  <c r="F177" i="34" s="1"/>
  <c r="Y95" i="6"/>
  <c r="M61" i="6"/>
  <c r="AK103" i="9"/>
  <c r="B31" i="34" s="1"/>
  <c r="AM109" i="9"/>
  <c r="D37" i="34" s="1"/>
  <c r="AN110" i="9"/>
  <c r="E38" i="34" s="1"/>
  <c r="T118" i="9"/>
  <c r="T143" i="9" s="1"/>
  <c r="D27" i="26" s="1"/>
  <c r="AN122" i="9"/>
  <c r="M34" i="34" s="1"/>
  <c r="AL123" i="9"/>
  <c r="K35" i="34" s="1"/>
  <c r="AP126" i="9"/>
  <c r="O38" i="34" s="1"/>
  <c r="W130" i="9"/>
  <c r="W155" i="9" s="1"/>
  <c r="G39" i="26" s="1"/>
  <c r="O160" i="9"/>
  <c r="AP124" i="9"/>
  <c r="O36" i="34" s="1"/>
  <c r="P149" i="9"/>
  <c r="AC157" i="9"/>
  <c r="T33" i="34" s="1"/>
  <c r="AG163" i="9"/>
  <c r="X39" i="34" s="1"/>
  <c r="S221" i="9"/>
  <c r="S246" i="9" s="1"/>
  <c r="C58" i="26" s="1"/>
  <c r="AL202" i="9"/>
  <c r="C58" i="34" s="1"/>
  <c r="S312" i="9"/>
  <c r="S337" i="9" s="1"/>
  <c r="C77" i="26" s="1"/>
  <c r="AL293" i="9"/>
  <c r="C77" i="34" s="1"/>
  <c r="K279" i="9"/>
  <c r="AQ398" i="9"/>
  <c r="P94" i="34" s="1"/>
  <c r="P381" i="9"/>
  <c r="P389" i="9" s="1"/>
  <c r="N570" i="9"/>
  <c r="O660" i="9"/>
  <c r="G144" i="28" s="1"/>
  <c r="AP647" i="9"/>
  <c r="G148" i="34" s="1"/>
  <c r="AP733" i="9"/>
  <c r="G165" i="34" s="1"/>
  <c r="AK102" i="9"/>
  <c r="B30" i="34" s="1"/>
  <c r="O124" i="9"/>
  <c r="T125" i="9"/>
  <c r="T150" i="9" s="1"/>
  <c r="D34" i="26" s="1"/>
  <c r="W129" i="9"/>
  <c r="W154" i="9" s="1"/>
  <c r="G38" i="26" s="1"/>
  <c r="O142" i="9"/>
  <c r="G18" i="32" s="1"/>
  <c r="P144" i="9"/>
  <c r="H20" i="32" s="1"/>
  <c r="AG160" i="9"/>
  <c r="X36" i="34" s="1"/>
  <c r="AP194" i="9"/>
  <c r="G50" i="34" s="1"/>
  <c r="W213" i="9"/>
  <c r="W238" i="9" s="1"/>
  <c r="G50" i="26" s="1"/>
  <c r="T217" i="9"/>
  <c r="T242" i="9" s="1"/>
  <c r="D54" i="26" s="1"/>
  <c r="AM198" i="9"/>
  <c r="D54" i="34" s="1"/>
  <c r="R218" i="9"/>
  <c r="R243" i="9" s="1"/>
  <c r="B55" i="26" s="1"/>
  <c r="J216" i="9"/>
  <c r="P218" i="9"/>
  <c r="H55" i="28" s="1"/>
  <c r="S217" i="9"/>
  <c r="S242" i="9" s="1"/>
  <c r="C54" i="26" s="1"/>
  <c r="S215" i="9"/>
  <c r="S240" i="9" s="1"/>
  <c r="C52" i="26" s="1"/>
  <c r="S214" i="9"/>
  <c r="S239" i="9" s="1"/>
  <c r="C51" i="26" s="1"/>
  <c r="L250" i="9"/>
  <c r="AM214" i="9"/>
  <c r="L54" i="34" s="1"/>
  <c r="M251" i="9"/>
  <c r="AN215" i="9"/>
  <c r="M55" i="34" s="1"/>
  <c r="O253" i="9"/>
  <c r="AP217" i="9"/>
  <c r="O57" i="34" s="1"/>
  <c r="AB249" i="9"/>
  <c r="S53" i="34" s="1"/>
  <c r="W309" i="9"/>
  <c r="W334" i="9" s="1"/>
  <c r="G74" i="26" s="1"/>
  <c r="O308" i="9"/>
  <c r="AP289" i="9" s="1"/>
  <c r="G73" i="34" s="1"/>
  <c r="R311" i="9"/>
  <c r="R336" i="9" s="1"/>
  <c r="B76" i="26" s="1"/>
  <c r="AK292" i="9"/>
  <c r="B76" i="34" s="1"/>
  <c r="T312" i="9"/>
  <c r="T337" i="9" s="1"/>
  <c r="D77" i="26" s="1"/>
  <c r="S307" i="9"/>
  <c r="S332" i="9" s="1"/>
  <c r="C72" i="26" s="1"/>
  <c r="S305" i="9"/>
  <c r="S330" i="9" s="1"/>
  <c r="C70" i="26" s="1"/>
  <c r="S304" i="9"/>
  <c r="S329" i="9" s="1"/>
  <c r="C69" i="26" s="1"/>
  <c r="S314" i="9"/>
  <c r="S339" i="9" s="1"/>
  <c r="C79" i="26" s="1"/>
  <c r="K228" i="9"/>
  <c r="J433" i="9"/>
  <c r="S398" i="9"/>
  <c r="S423" i="9" s="1"/>
  <c r="C91" i="26" s="1"/>
  <c r="P398" i="9"/>
  <c r="H91" i="28" s="1"/>
  <c r="AL379" i="9"/>
  <c r="C91" i="34" s="1"/>
  <c r="S404" i="9"/>
  <c r="S429" i="9" s="1"/>
  <c r="C97" i="26" s="1"/>
  <c r="AL385" i="9"/>
  <c r="C97" i="34" s="1"/>
  <c r="T405" i="9"/>
  <c r="T430" i="9" s="1"/>
  <c r="D98" i="26" s="1"/>
  <c r="AM386" i="9"/>
  <c r="D98" i="34" s="1"/>
  <c r="P496" i="9"/>
  <c r="H117" i="28" s="1"/>
  <c r="L492" i="9"/>
  <c r="L507" i="9" s="1"/>
  <c r="AM477" i="9"/>
  <c r="D117" i="34" s="1"/>
  <c r="L532" i="9"/>
  <c r="L463" i="9"/>
  <c r="AP646" i="9"/>
  <c r="G147" i="34" s="1"/>
  <c r="AM729" i="9"/>
  <c r="D161" i="34" s="1"/>
  <c r="L745" i="9"/>
  <c r="AM728" i="9" s="1"/>
  <c r="D160" i="34" s="1"/>
  <c r="AP732" i="9"/>
  <c r="G164" i="34" s="1"/>
  <c r="P239" i="9"/>
  <c r="H35" i="32" s="1"/>
  <c r="AD249" i="9"/>
  <c r="U53" i="34" s="1"/>
  <c r="AG252" i="9"/>
  <c r="X56" i="34" s="1"/>
  <c r="AK305" i="9"/>
  <c r="J73" i="34" s="1"/>
  <c r="J301" i="9"/>
  <c r="B66" i="28" s="1"/>
  <c r="N308" i="9"/>
  <c r="N323" i="9" s="1"/>
  <c r="S311" i="9"/>
  <c r="S336" i="9" s="1"/>
  <c r="C76" i="26" s="1"/>
  <c r="T313" i="9"/>
  <c r="T338" i="9" s="1"/>
  <c r="D78" i="26" s="1"/>
  <c r="K433" i="9"/>
  <c r="L400" i="9"/>
  <c r="AM381" i="9" s="1"/>
  <c r="D93" i="34" s="1"/>
  <c r="R401" i="9"/>
  <c r="AO489" i="9"/>
  <c r="N113" i="34" s="1"/>
  <c r="N481" i="9"/>
  <c r="AK569" i="9"/>
  <c r="B137" i="34" s="1"/>
  <c r="AP644" i="9"/>
  <c r="G145" i="34" s="1"/>
  <c r="P734" i="9"/>
  <c r="P741" i="9" s="1"/>
  <c r="M760" i="9"/>
  <c r="U753" i="9" s="1"/>
  <c r="U776" i="9" s="1"/>
  <c r="E168" i="26" s="1"/>
  <c r="AO766" i="9"/>
  <c r="AO737" i="9"/>
  <c r="F169" i="34" s="1"/>
  <c r="AM768" i="9"/>
  <c r="AM739" i="9"/>
  <c r="D171" i="34" s="1"/>
  <c r="AP900" i="9"/>
  <c r="G197" i="34" s="1"/>
  <c r="O912" i="9"/>
  <c r="AP924" i="9" s="1"/>
  <c r="O204" i="34" s="1"/>
  <c r="W217" i="9"/>
  <c r="W242" i="9" s="1"/>
  <c r="G54" i="26" s="1"/>
  <c r="K216" i="9"/>
  <c r="C53" i="28" s="1"/>
  <c r="AG234" i="9"/>
  <c r="AG251" i="9"/>
  <c r="X55" i="34" s="1"/>
  <c r="K341" i="9"/>
  <c r="S303" i="9"/>
  <c r="S328" i="9" s="1"/>
  <c r="C68" i="26" s="1"/>
  <c r="P309" i="9"/>
  <c r="H74" i="28" s="1"/>
  <c r="S310" i="9"/>
  <c r="S335" i="9" s="1"/>
  <c r="C75" i="26" s="1"/>
  <c r="T311" i="9"/>
  <c r="T336" i="9" s="1"/>
  <c r="D76" i="26" s="1"/>
  <c r="K393" i="9"/>
  <c r="C86" i="28" s="1"/>
  <c r="R402" i="9"/>
  <c r="R427" i="9" s="1"/>
  <c r="B95" i="26" s="1"/>
  <c r="AN466" i="9"/>
  <c r="E106" i="34" s="1"/>
  <c r="N492" i="9"/>
  <c r="F113" i="28" s="1"/>
  <c r="AO474" i="9"/>
  <c r="F114" i="34" s="1"/>
  <c r="P558" i="9"/>
  <c r="N575" i="9"/>
  <c r="J655" i="9"/>
  <c r="AN681" i="9"/>
  <c r="AN652" i="9"/>
  <c r="E153" i="34" s="1"/>
  <c r="O725" i="9"/>
  <c r="AO851" i="9"/>
  <c r="AO822" i="9"/>
  <c r="F186" i="34" s="1"/>
  <c r="AN898" i="9"/>
  <c r="E195" i="34" s="1"/>
  <c r="AO933" i="9"/>
  <c r="N918" i="9"/>
  <c r="AO901" i="9" s="1"/>
  <c r="F198" i="34" s="1"/>
  <c r="AO904" i="9"/>
  <c r="F201" i="34" s="1"/>
  <c r="T302" i="9"/>
  <c r="T327" i="9" s="1"/>
  <c r="D67" i="26" s="1"/>
  <c r="L301" i="9"/>
  <c r="D66" i="28" s="1"/>
  <c r="P304" i="9"/>
  <c r="H69" i="28" s="1"/>
  <c r="M433" i="9"/>
  <c r="J400" i="9"/>
  <c r="B93" i="28" s="1"/>
  <c r="W404" i="9"/>
  <c r="W429" i="9" s="1"/>
  <c r="G97" i="26" s="1"/>
  <c r="P517" i="9"/>
  <c r="J463" i="9"/>
  <c r="J581" i="9"/>
  <c r="B132" i="28" s="1"/>
  <c r="AK565" i="9"/>
  <c r="B133" i="34" s="1"/>
  <c r="AK568" i="9"/>
  <c r="B136" i="34" s="1"/>
  <c r="P585" i="9"/>
  <c r="H136" i="28" s="1"/>
  <c r="J666" i="9"/>
  <c r="P831" i="9"/>
  <c r="H178" i="28" s="1"/>
  <c r="L927" i="9"/>
  <c r="T916" i="9" s="1"/>
  <c r="T939" i="9" s="1"/>
  <c r="D196" i="26" s="1"/>
  <c r="P913" i="9"/>
  <c r="H193" i="28" s="1"/>
  <c r="AM896" i="9"/>
  <c r="D193" i="34" s="1"/>
  <c r="AM932" i="9"/>
  <c r="AM903" i="9"/>
  <c r="D200" i="34" s="1"/>
  <c r="O918" i="9"/>
  <c r="AP904" i="9"/>
  <c r="G201" i="34" s="1"/>
  <c r="AM935" i="9"/>
  <c r="AM906" i="9"/>
  <c r="D203" i="34" s="1"/>
  <c r="P210" i="9"/>
  <c r="H47" i="28" s="1"/>
  <c r="S212" i="9"/>
  <c r="S237" i="9" s="1"/>
  <c r="C49" i="26" s="1"/>
  <c r="S218" i="9"/>
  <c r="S243" i="9" s="1"/>
  <c r="C55" i="26" s="1"/>
  <c r="T220" i="9"/>
  <c r="T245" i="9" s="1"/>
  <c r="D57" i="26" s="1"/>
  <c r="P236" i="9"/>
  <c r="H32" i="32" s="1"/>
  <c r="L296" i="9"/>
  <c r="AK285" i="9"/>
  <c r="B69" i="34" s="1"/>
  <c r="U306" i="9"/>
  <c r="U331" i="9" s="1"/>
  <c r="E71" i="26" s="1"/>
  <c r="L308" i="9"/>
  <c r="D73" i="28" s="1"/>
  <c r="W312" i="9"/>
  <c r="W337" i="9" s="1"/>
  <c r="G77" i="26" s="1"/>
  <c r="W313" i="9"/>
  <c r="W338" i="9" s="1"/>
  <c r="G78" i="26" s="1"/>
  <c r="W314" i="9"/>
  <c r="W339" i="9" s="1"/>
  <c r="G79" i="26" s="1"/>
  <c r="N433" i="9"/>
  <c r="N389" i="9"/>
  <c r="AM384" i="9"/>
  <c r="D96" i="34" s="1"/>
  <c r="W396" i="9"/>
  <c r="W421" i="9" s="1"/>
  <c r="G89" i="26" s="1"/>
  <c r="S401" i="9"/>
  <c r="S426" i="9" s="1"/>
  <c r="C94" i="26" s="1"/>
  <c r="K400" i="9"/>
  <c r="AL381" i="9" s="1"/>
  <c r="C93" i="34" s="1"/>
  <c r="AQ490" i="9"/>
  <c r="P114" i="34" s="1"/>
  <c r="P473" i="9"/>
  <c r="P481" i="9" s="1"/>
  <c r="K485" i="9"/>
  <c r="C106" i="28" s="1"/>
  <c r="AL467" i="9"/>
  <c r="C107" i="34" s="1"/>
  <c r="P487" i="9"/>
  <c r="H108" i="28" s="1"/>
  <c r="P497" i="9"/>
  <c r="H118" i="28" s="1"/>
  <c r="AK478" i="9"/>
  <c r="B118" i="34" s="1"/>
  <c r="K581" i="9"/>
  <c r="C132" i="28" s="1"/>
  <c r="S582" i="9"/>
  <c r="S605" i="9" s="1"/>
  <c r="C133" i="26" s="1"/>
  <c r="O555" i="9"/>
  <c r="M696" i="9"/>
  <c r="M640" i="9"/>
  <c r="M656" i="9"/>
  <c r="N640" i="9"/>
  <c r="P747" i="9"/>
  <c r="H162" i="28" s="1"/>
  <c r="S749" i="9"/>
  <c r="S772" i="9" s="1"/>
  <c r="C164" i="26" s="1"/>
  <c r="AL732" i="9"/>
  <c r="C164" i="34" s="1"/>
  <c r="S750" i="9"/>
  <c r="S773" i="9" s="1"/>
  <c r="C165" i="26" s="1"/>
  <c r="AL733" i="9"/>
  <c r="C165" i="34" s="1"/>
  <c r="AO819" i="9"/>
  <c r="F183" i="34" s="1"/>
  <c r="S831" i="9"/>
  <c r="S854" i="9" s="1"/>
  <c r="C178" i="26" s="1"/>
  <c r="AL814" i="9"/>
  <c r="C178" i="34" s="1"/>
  <c r="AN815" i="9"/>
  <c r="E179" i="34" s="1"/>
  <c r="M912" i="9"/>
  <c r="E192" i="28" s="1"/>
  <c r="AN896" i="9"/>
  <c r="E193" i="34" s="1"/>
  <c r="N912" i="9"/>
  <c r="AO895" i="9" s="1"/>
  <c r="F192" i="34" s="1"/>
  <c r="AK931" i="9"/>
  <c r="J918" i="9"/>
  <c r="B198" i="28" s="1"/>
  <c r="AN903" i="9"/>
  <c r="E200" i="34" s="1"/>
  <c r="K1046" i="9"/>
  <c r="P1049" i="9"/>
  <c r="D74" i="37"/>
  <c r="I74" i="37" s="1"/>
  <c r="P130" i="9"/>
  <c r="H39" i="28" s="1"/>
  <c r="P146" i="9"/>
  <c r="H22" i="32" s="1"/>
  <c r="N204" i="9"/>
  <c r="N206" i="9" s="1"/>
  <c r="AM191" i="9"/>
  <c r="D47" i="34" s="1"/>
  <c r="AN201" i="9"/>
  <c r="E57" i="34" s="1"/>
  <c r="T212" i="9"/>
  <c r="T237" i="9" s="1"/>
  <c r="D49" i="26" s="1"/>
  <c r="T213" i="9"/>
  <c r="T238" i="9" s="1"/>
  <c r="D50" i="26" s="1"/>
  <c r="T214" i="9"/>
  <c r="T239" i="9" s="1"/>
  <c r="D51" i="26" s="1"/>
  <c r="P217" i="9"/>
  <c r="AK217" i="9"/>
  <c r="J57" i="34" s="1"/>
  <c r="T218" i="9"/>
  <c r="T243" i="9" s="1"/>
  <c r="D55" i="26" s="1"/>
  <c r="P235" i="9"/>
  <c r="H31" i="32" s="1"/>
  <c r="K234" i="9"/>
  <c r="C30" i="32" s="1"/>
  <c r="L234" i="9"/>
  <c r="D30" i="32" s="1"/>
  <c r="AG250" i="9"/>
  <c r="X54" i="34" s="1"/>
  <c r="AG254" i="9"/>
  <c r="X58" i="34" s="1"/>
  <c r="AL283" i="9"/>
  <c r="C67" i="34" s="1"/>
  <c r="AL284" i="9"/>
  <c r="C68" i="34" s="1"/>
  <c r="AN292" i="9"/>
  <c r="E76" i="34" s="1"/>
  <c r="AN293" i="9"/>
  <c r="E77" i="34" s="1"/>
  <c r="T304" i="9"/>
  <c r="T329" i="9" s="1"/>
  <c r="D69" i="26" s="1"/>
  <c r="M308" i="9"/>
  <c r="E73" i="28" s="1"/>
  <c r="J320" i="9"/>
  <c r="K388" i="9"/>
  <c r="K370" i="9" s="1"/>
  <c r="AL375" i="9"/>
  <c r="C87" i="34" s="1"/>
  <c r="AL376" i="9"/>
  <c r="C88" i="34" s="1"/>
  <c r="AN384" i="9"/>
  <c r="E96" i="34" s="1"/>
  <c r="AN385" i="9"/>
  <c r="E97" i="34" s="1"/>
  <c r="N393" i="9"/>
  <c r="F86" i="28" s="1"/>
  <c r="O393" i="9"/>
  <c r="G86" i="28" s="1"/>
  <c r="R405" i="9"/>
  <c r="R430" i="9" s="1"/>
  <c r="B98" i="26" s="1"/>
  <c r="R406" i="9"/>
  <c r="R431" i="9" s="1"/>
  <c r="B99" i="26" s="1"/>
  <c r="AK489" i="9"/>
  <c r="J113" i="34" s="1"/>
  <c r="L485" i="9"/>
  <c r="D106" i="28" s="1"/>
  <c r="AM467" i="9"/>
  <c r="D107" i="34" s="1"/>
  <c r="S490" i="9"/>
  <c r="S515" i="9" s="1"/>
  <c r="C111" i="26" s="1"/>
  <c r="AP560" i="9"/>
  <c r="G128" i="34" s="1"/>
  <c r="AL566" i="9"/>
  <c r="C134" i="34" s="1"/>
  <c r="AL646" i="9"/>
  <c r="C147" i="34" s="1"/>
  <c r="AO666" i="9"/>
  <c r="N150" i="34" s="1"/>
  <c r="AQ754" i="9"/>
  <c r="P169" i="34" s="1"/>
  <c r="AP765" i="9"/>
  <c r="AP736" i="9"/>
  <c r="G168" i="34" s="1"/>
  <c r="O751" i="9"/>
  <c r="G166" i="28" s="1"/>
  <c r="S830" i="9"/>
  <c r="S853" i="9" s="1"/>
  <c r="C177" i="26" s="1"/>
  <c r="AL813" i="9"/>
  <c r="C177" i="34" s="1"/>
  <c r="AM814" i="9"/>
  <c r="D178" i="34" s="1"/>
  <c r="L829" i="9"/>
  <c r="D176" i="28" s="1"/>
  <c r="O927" i="9"/>
  <c r="W921" i="9" s="1"/>
  <c r="W944" i="9" s="1"/>
  <c r="G201" i="26" s="1"/>
  <c r="AG161" i="9"/>
  <c r="X37" i="34" s="1"/>
  <c r="O204" i="9"/>
  <c r="O206" i="9" s="1"/>
  <c r="AN200" i="9"/>
  <c r="E56" i="34" s="1"/>
  <c r="N209" i="9"/>
  <c r="F46" i="28" s="1"/>
  <c r="M209" i="9"/>
  <c r="E46" i="28" s="1"/>
  <c r="AK215" i="9"/>
  <c r="J55" i="34" s="1"/>
  <c r="O216" i="9"/>
  <c r="AN218" i="9"/>
  <c r="M58" i="34" s="1"/>
  <c r="W219" i="9"/>
  <c r="W244" i="9" s="1"/>
  <c r="G56" i="26" s="1"/>
  <c r="R220" i="9"/>
  <c r="R245" i="9" s="1"/>
  <c r="R222" i="9"/>
  <c r="R247" i="9" s="1"/>
  <c r="B59" i="26" s="1"/>
  <c r="V214" i="9"/>
  <c r="V239" i="9" s="1"/>
  <c r="F51" i="26" s="1"/>
  <c r="O234" i="9"/>
  <c r="O249" i="9" s="1"/>
  <c r="AM283" i="9"/>
  <c r="D67" i="34" s="1"/>
  <c r="AM284" i="9"/>
  <c r="D68" i="34" s="1"/>
  <c r="AP294" i="9"/>
  <c r="G78" i="34" s="1"/>
  <c r="O301" i="9"/>
  <c r="G66" i="28" s="1"/>
  <c r="W303" i="9"/>
  <c r="W328" i="9" s="1"/>
  <c r="G68" i="26" s="1"/>
  <c r="U304" i="9"/>
  <c r="U329" i="9" s="1"/>
  <c r="E69" i="26" s="1"/>
  <c r="W310" i="9"/>
  <c r="W335" i="9" s="1"/>
  <c r="G75" i="26" s="1"/>
  <c r="AM375" i="9"/>
  <c r="D87" i="34" s="1"/>
  <c r="AM376" i="9"/>
  <c r="D88" i="34" s="1"/>
  <c r="AM377" i="9"/>
  <c r="D89" i="34" s="1"/>
  <c r="AN379" i="9"/>
  <c r="E91" i="34" s="1"/>
  <c r="W394" i="9"/>
  <c r="W419" i="9" s="1"/>
  <c r="G87" i="26" s="1"/>
  <c r="R397" i="9"/>
  <c r="R422" i="9" s="1"/>
  <c r="B90" i="26" s="1"/>
  <c r="R404" i="9"/>
  <c r="R429" i="9" s="1"/>
  <c r="B97" i="26" s="1"/>
  <c r="S405" i="9"/>
  <c r="S430" i="9" s="1"/>
  <c r="C98" i="26" s="1"/>
  <c r="J492" i="9"/>
  <c r="B113" i="28" s="1"/>
  <c r="AK474" i="9"/>
  <c r="B114" i="34" s="1"/>
  <c r="S497" i="9"/>
  <c r="S522" i="9" s="1"/>
  <c r="C118" i="26" s="1"/>
  <c r="S493" i="9"/>
  <c r="S518" i="9" s="1"/>
  <c r="C114" i="26" s="1"/>
  <c r="S489" i="9"/>
  <c r="S514" i="9" s="1"/>
  <c r="C110" i="26" s="1"/>
  <c r="S488" i="9"/>
  <c r="S513" i="9" s="1"/>
  <c r="C109" i="26" s="1"/>
  <c r="S487" i="9"/>
  <c r="S512" i="9" s="1"/>
  <c r="C108" i="26" s="1"/>
  <c r="AL565" i="9"/>
  <c r="C133" i="34" s="1"/>
  <c r="AP569" i="9"/>
  <c r="G137" i="34" s="1"/>
  <c r="AN679" i="9"/>
  <c r="AN650" i="9"/>
  <c r="E151" i="34" s="1"/>
  <c r="N781" i="9"/>
  <c r="AN764" i="9"/>
  <c r="AN735" i="9"/>
  <c r="E167" i="34" s="1"/>
  <c r="AO767" i="9"/>
  <c r="AO738" i="9"/>
  <c r="F170" i="34" s="1"/>
  <c r="P768" i="9"/>
  <c r="H98" i="32" s="1"/>
  <c r="J789" i="9"/>
  <c r="B121" i="33" s="1"/>
  <c r="AL821" i="9"/>
  <c r="C185" i="34" s="1"/>
  <c r="M844" i="9"/>
  <c r="U832" i="9" s="1"/>
  <c r="U855" i="9" s="1"/>
  <c r="E179" i="26" s="1"/>
  <c r="AM849" i="9"/>
  <c r="AM820" i="9"/>
  <c r="D184" i="34" s="1"/>
  <c r="AP850" i="9"/>
  <c r="O835" i="9"/>
  <c r="AK851" i="9"/>
  <c r="AK822" i="9"/>
  <c r="B186" i="34" s="1"/>
  <c r="AN852" i="9"/>
  <c r="AN823" i="9"/>
  <c r="E187" i="34" s="1"/>
  <c r="N984" i="9"/>
  <c r="I51" i="37"/>
  <c r="I45" i="37"/>
  <c r="I65" i="37" s="1"/>
  <c r="W402" i="9"/>
  <c r="W427" i="9" s="1"/>
  <c r="G95" i="26" s="1"/>
  <c r="O463" i="9"/>
  <c r="K532" i="9"/>
  <c r="P490" i="9"/>
  <c r="AL563" i="9"/>
  <c r="C131" i="34" s="1"/>
  <c r="L581" i="9"/>
  <c r="D132" i="28" s="1"/>
  <c r="S586" i="9"/>
  <c r="S609" i="9" s="1"/>
  <c r="C137" i="26" s="1"/>
  <c r="AP666" i="9"/>
  <c r="O150" i="34" s="1"/>
  <c r="N675" i="9"/>
  <c r="V668" i="9" s="1"/>
  <c r="V691" i="9" s="1"/>
  <c r="F152" i="26" s="1"/>
  <c r="O666" i="9"/>
  <c r="AP649" i="9" s="1"/>
  <c r="G150" i="34" s="1"/>
  <c r="N745" i="9"/>
  <c r="F160" i="28" s="1"/>
  <c r="N760" i="9"/>
  <c r="V753" i="9" s="1"/>
  <c r="V776" i="9" s="1"/>
  <c r="F168" i="26" s="1"/>
  <c r="L751" i="9"/>
  <c r="M809" i="9"/>
  <c r="J844" i="9"/>
  <c r="R831" i="9" s="1"/>
  <c r="J907" i="9"/>
  <c r="L948" i="9"/>
  <c r="K1003" i="9"/>
  <c r="S1003" i="9" s="1"/>
  <c r="S1026" i="9" s="1"/>
  <c r="L1004" i="9"/>
  <c r="P1040" i="9"/>
  <c r="N1046" i="9"/>
  <c r="N1053" i="9" s="1"/>
  <c r="B20" i="35"/>
  <c r="Z20" i="35"/>
  <c r="Z22" i="35" s="1"/>
  <c r="F40" i="35"/>
  <c r="N40" i="35"/>
  <c r="AG121" i="24"/>
  <c r="J45" i="37"/>
  <c r="J65" i="37" s="1"/>
  <c r="R45" i="37"/>
  <c r="R27" i="37" s="1"/>
  <c r="R394" i="9"/>
  <c r="R419" i="9" s="1"/>
  <c r="B87" i="26" s="1"/>
  <c r="W398" i="9"/>
  <c r="W423" i="9" s="1"/>
  <c r="G91" i="26" s="1"/>
  <c r="AM473" i="9"/>
  <c r="D113" i="34" s="1"/>
  <c r="S496" i="9"/>
  <c r="S521" i="9" s="1"/>
  <c r="C117" i="26" s="1"/>
  <c r="J532" i="9"/>
  <c r="O611" i="9"/>
  <c r="S585" i="9"/>
  <c r="S608" i="9" s="1"/>
  <c r="C136" i="26" s="1"/>
  <c r="P604" i="9"/>
  <c r="AN645" i="9"/>
  <c r="E146" i="34" s="1"/>
  <c r="P649" i="9"/>
  <c r="P656" i="9" s="1"/>
  <c r="AO651" i="9"/>
  <c r="F152" i="34" s="1"/>
  <c r="K740" i="9"/>
  <c r="K724" i="9" s="1"/>
  <c r="O745" i="9"/>
  <c r="P748" i="9"/>
  <c r="H163" i="28" s="1"/>
  <c r="S752" i="9"/>
  <c r="S775" i="9" s="1"/>
  <c r="C167" i="26" s="1"/>
  <c r="M751" i="9"/>
  <c r="E166" i="28" s="1"/>
  <c r="N809" i="9"/>
  <c r="P830" i="9"/>
  <c r="H177" i="28" s="1"/>
  <c r="N844" i="9"/>
  <c r="V832" i="9" s="1"/>
  <c r="V855" i="9" s="1"/>
  <c r="F179" i="26" s="1"/>
  <c r="S840" i="9"/>
  <c r="S863" i="9" s="1"/>
  <c r="C187" i="26" s="1"/>
  <c r="P858" i="9"/>
  <c r="H107" i="31" s="1"/>
  <c r="K912" i="9"/>
  <c r="C192" i="28" s="1"/>
  <c r="P919" i="9"/>
  <c r="H199" i="28" s="1"/>
  <c r="L998" i="9"/>
  <c r="M1003" i="9"/>
  <c r="M1004" i="9"/>
  <c r="J1053" i="9"/>
  <c r="P22" i="37"/>
  <c r="P24" i="37" s="1"/>
  <c r="K51" i="37"/>
  <c r="S51" i="37"/>
  <c r="O844" i="9"/>
  <c r="W833" i="9" s="1"/>
  <c r="W856" i="9" s="1"/>
  <c r="G180" i="26" s="1"/>
  <c r="P917" i="9"/>
  <c r="H197" i="28" s="1"/>
  <c r="N927" i="9"/>
  <c r="V919" i="9" s="1"/>
  <c r="M998" i="9"/>
  <c r="N1002" i="9"/>
  <c r="N1004" i="9"/>
  <c r="AQ583" i="9"/>
  <c r="P134" i="34" s="1"/>
  <c r="P578" i="9"/>
  <c r="H129" i="28" s="1"/>
  <c r="O581" i="9"/>
  <c r="AP564" i="9" s="1"/>
  <c r="G132" i="34" s="1"/>
  <c r="AQ670" i="9"/>
  <c r="P154" i="34" s="1"/>
  <c r="M675" i="9"/>
  <c r="U671" i="9" s="1"/>
  <c r="U694" i="9" s="1"/>
  <c r="E155" i="26" s="1"/>
  <c r="P661" i="9"/>
  <c r="H145" i="28" s="1"/>
  <c r="M666" i="9"/>
  <c r="P689" i="9"/>
  <c r="H89" i="31" s="1"/>
  <c r="S747" i="9"/>
  <c r="S770" i="9" s="1"/>
  <c r="C162" i="26" s="1"/>
  <c r="J751" i="9"/>
  <c r="B166" i="28" s="1"/>
  <c r="K824" i="9"/>
  <c r="K808" i="9" s="1"/>
  <c r="L865" i="9"/>
  <c r="P833" i="9"/>
  <c r="H180" i="28" s="1"/>
  <c r="AP918" i="9"/>
  <c r="O198" i="34" s="1"/>
  <c r="AP906" i="9"/>
  <c r="G203" i="34" s="1"/>
  <c r="M1005" i="9"/>
  <c r="L1006" i="9"/>
  <c r="N1010" i="9"/>
  <c r="AF10" i="24"/>
  <c r="E45" i="37"/>
  <c r="E27" i="37" s="1"/>
  <c r="M45" i="37"/>
  <c r="M27" i="37" s="1"/>
  <c r="Q58" i="37"/>
  <c r="E51" i="37"/>
  <c r="O525" i="9"/>
  <c r="O502" i="9"/>
  <c r="W494" i="9" s="1"/>
  <c r="M532" i="9"/>
  <c r="K575" i="9"/>
  <c r="C126" i="28" s="1"/>
  <c r="L660" i="9"/>
  <c r="D144" i="28" s="1"/>
  <c r="P667" i="9"/>
  <c r="AQ650" i="9" s="1"/>
  <c r="H151" i="34" s="1"/>
  <c r="P671" i="9"/>
  <c r="S755" i="9"/>
  <c r="S778" i="9" s="1"/>
  <c r="C170" i="26" s="1"/>
  <c r="AK764" i="9"/>
  <c r="J829" i="9"/>
  <c r="B176" i="28" s="1"/>
  <c r="M927" i="9"/>
  <c r="U917" i="9" s="1"/>
  <c r="U940" i="9" s="1"/>
  <c r="E197" i="26" s="1"/>
  <c r="P1012" i="9"/>
  <c r="K22" i="37"/>
  <c r="K24" i="37" s="1"/>
  <c r="S22" i="37"/>
  <c r="S24" i="37" s="1"/>
  <c r="N51" i="37"/>
  <c r="R58" i="37"/>
  <c r="N485" i="9"/>
  <c r="F106" i="28" s="1"/>
  <c r="N532" i="9"/>
  <c r="M570" i="9"/>
  <c r="K611" i="9"/>
  <c r="L575" i="9"/>
  <c r="D126" i="28" s="1"/>
  <c r="M575" i="9"/>
  <c r="P579" i="9"/>
  <c r="H130" i="28" s="1"/>
  <c r="P583" i="9"/>
  <c r="H134" i="28" s="1"/>
  <c r="P584" i="9"/>
  <c r="H135" i="28" s="1"/>
  <c r="AK650" i="9"/>
  <c r="B151" i="34" s="1"/>
  <c r="N660" i="9"/>
  <c r="AO643" i="9" s="1"/>
  <c r="F144" i="34" s="1"/>
  <c r="L666" i="9"/>
  <c r="D150" i="28" s="1"/>
  <c r="AQ756" i="9"/>
  <c r="P171" i="34" s="1"/>
  <c r="K745" i="9"/>
  <c r="O760" i="9"/>
  <c r="W747" i="9" s="1"/>
  <c r="W770" i="9" s="1"/>
  <c r="G162" i="26" s="1"/>
  <c r="P774" i="9"/>
  <c r="H98" i="31" s="1"/>
  <c r="AO835" i="9"/>
  <c r="N182" i="34" s="1"/>
  <c r="K835" i="9"/>
  <c r="C182" i="28" s="1"/>
  <c r="AQ922" i="9"/>
  <c r="P202" i="34" s="1"/>
  <c r="P941" i="9"/>
  <c r="H116" i="31" s="1"/>
  <c r="N978" i="9"/>
  <c r="K58" i="37"/>
  <c r="S58" i="37"/>
  <c r="AA64" i="35"/>
  <c r="R11" i="27"/>
  <c r="S13" i="38" s="1"/>
  <c r="S75" i="38" s="1"/>
  <c r="K89" i="6"/>
  <c r="B19" i="27" s="1"/>
  <c r="D20" i="35"/>
  <c r="H40" i="35"/>
  <c r="P40" i="35"/>
  <c r="X40" i="35"/>
  <c r="U67" i="35"/>
  <c r="U71" i="35" s="1"/>
  <c r="B11" i="27"/>
  <c r="C13" i="38" s="1"/>
  <c r="C75" i="38" s="1"/>
  <c r="X68" i="35"/>
  <c r="X72" i="35" s="1"/>
  <c r="V40" i="35"/>
  <c r="Z83" i="6"/>
  <c r="Q10" i="27" s="1"/>
  <c r="P82" i="6"/>
  <c r="P91" i="6" s="1"/>
  <c r="G14" i="27" s="1"/>
  <c r="X82" i="6"/>
  <c r="O11" i="27" s="1"/>
  <c r="P13" i="38" s="1"/>
  <c r="P75" i="38" s="1"/>
  <c r="P121" i="6"/>
  <c r="G20" i="35"/>
  <c r="W20" i="35"/>
  <c r="W69" i="35" s="1"/>
  <c r="W76" i="35" s="1"/>
  <c r="C40" i="35"/>
  <c r="K40" i="35"/>
  <c r="S40" i="35"/>
  <c r="AA40" i="35"/>
  <c r="Z65" i="35"/>
  <c r="M11" i="27"/>
  <c r="N13" i="38" s="1"/>
  <c r="N75" i="38" s="1"/>
  <c r="Q82" i="6"/>
  <c r="Q84" i="6" s="1"/>
  <c r="H9" i="27" s="1"/>
  <c r="W68" i="35"/>
  <c r="W72" i="35" s="1"/>
  <c r="I8" i="27"/>
  <c r="K80" i="6"/>
  <c r="Q83" i="6"/>
  <c r="H10" i="27" s="1"/>
  <c r="Y68" i="35"/>
  <c r="Y72" i="35" s="1"/>
  <c r="R8" i="27"/>
  <c r="W82" i="6"/>
  <c r="W80" i="6" s="1"/>
  <c r="F83" i="6"/>
  <c r="F92" i="6" s="1"/>
  <c r="I11" i="27"/>
  <c r="J13" i="38" s="1"/>
  <c r="J75" i="38" s="1"/>
  <c r="I40" i="35"/>
  <c r="Q40" i="35"/>
  <c r="Y40" i="35"/>
  <c r="Y82" i="6"/>
  <c r="P8" i="27" s="1"/>
  <c r="F20" i="35"/>
  <c r="N20" i="35"/>
  <c r="N69" i="35" s="1"/>
  <c r="N73" i="35" s="1"/>
  <c r="V20" i="35"/>
  <c r="V69" i="35" s="1"/>
  <c r="V73" i="35" s="1"/>
  <c r="B40" i="35"/>
  <c r="J40" i="35"/>
  <c r="R40" i="35"/>
  <c r="Z40" i="35"/>
  <c r="I83" i="6"/>
  <c r="I92" i="6" s="1"/>
  <c r="O82" i="6"/>
  <c r="O84" i="6" s="1"/>
  <c r="U31" i="37"/>
  <c r="U51" i="37" s="1"/>
  <c r="I31" i="13"/>
  <c r="Q31" i="13"/>
  <c r="Y31" i="13"/>
  <c r="V401" i="9"/>
  <c r="V426" i="9" s="1"/>
  <c r="F94" i="26" s="1"/>
  <c r="N320" i="9"/>
  <c r="V405" i="9"/>
  <c r="V430" i="9" s="1"/>
  <c r="F98" i="26" s="1"/>
  <c r="V395" i="9"/>
  <c r="V420" i="9" s="1"/>
  <c r="F88" i="26" s="1"/>
  <c r="V397" i="9"/>
  <c r="V422" i="9" s="1"/>
  <c r="F90" i="26" s="1"/>
  <c r="V396" i="9"/>
  <c r="V421" i="9" s="1"/>
  <c r="F89" i="26" s="1"/>
  <c r="V398" i="9"/>
  <c r="V423" i="9" s="1"/>
  <c r="F91" i="26" s="1"/>
  <c r="V399" i="9"/>
  <c r="V424" i="9" s="1"/>
  <c r="F92" i="26" s="1"/>
  <c r="V402" i="9"/>
  <c r="V427" i="9" s="1"/>
  <c r="F95" i="26" s="1"/>
  <c r="V404" i="9"/>
  <c r="V429" i="9" s="1"/>
  <c r="F97" i="26" s="1"/>
  <c r="V406" i="9"/>
  <c r="V431" i="9" s="1"/>
  <c r="F99" i="26" s="1"/>
  <c r="V302" i="9"/>
  <c r="V327" i="9" s="1"/>
  <c r="F67" i="26" s="1"/>
  <c r="V305" i="9"/>
  <c r="V330" i="9" s="1"/>
  <c r="F70" i="26" s="1"/>
  <c r="V303" i="9"/>
  <c r="V328" i="9" s="1"/>
  <c r="F68" i="26" s="1"/>
  <c r="V312" i="9"/>
  <c r="V337" i="9" s="1"/>
  <c r="F77" i="26" s="1"/>
  <c r="V306" i="9"/>
  <c r="V331" i="9" s="1"/>
  <c r="F71" i="26" s="1"/>
  <c r="V310" i="9"/>
  <c r="V335" i="9" s="1"/>
  <c r="F75" i="26" s="1"/>
  <c r="V307" i="9"/>
  <c r="V332" i="9" s="1"/>
  <c r="F72" i="26" s="1"/>
  <c r="V314" i="9"/>
  <c r="V339" i="9" s="1"/>
  <c r="F79" i="26" s="1"/>
  <c r="V304" i="9"/>
  <c r="V329" i="9" s="1"/>
  <c r="F69" i="26" s="1"/>
  <c r="V311" i="9"/>
  <c r="V336" i="9" s="1"/>
  <c r="F76" i="26" s="1"/>
  <c r="V313" i="9"/>
  <c r="V338" i="9" s="1"/>
  <c r="F78" i="26" s="1"/>
  <c r="V215" i="9"/>
  <c r="V240" i="9" s="1"/>
  <c r="F52" i="26" s="1"/>
  <c r="V210" i="9"/>
  <c r="V235" i="9" s="1"/>
  <c r="F47" i="26" s="1"/>
  <c r="V217" i="9"/>
  <c r="V242" i="9" s="1"/>
  <c r="F54" i="26" s="1"/>
  <c r="V222" i="9"/>
  <c r="V247" i="9" s="1"/>
  <c r="F59" i="26" s="1"/>
  <c r="V218" i="9"/>
  <c r="V243" i="9" s="1"/>
  <c r="F55" i="26" s="1"/>
  <c r="N136" i="9"/>
  <c r="V212" i="9"/>
  <c r="V237" i="9" s="1"/>
  <c r="F49" i="26" s="1"/>
  <c r="V219" i="9"/>
  <c r="V244" i="9" s="1"/>
  <c r="F56" i="26" s="1"/>
  <c r="V221" i="9"/>
  <c r="V246" i="9" s="1"/>
  <c r="F58" i="26" s="1"/>
  <c r="V213" i="9"/>
  <c r="V238" i="9" s="1"/>
  <c r="F50" i="26" s="1"/>
  <c r="V220" i="9"/>
  <c r="V245" i="9" s="1"/>
  <c r="F57" i="26" s="1"/>
  <c r="V119" i="9"/>
  <c r="V144" i="9" s="1"/>
  <c r="F28" i="26" s="1"/>
  <c r="V120" i="9"/>
  <c r="V145" i="9" s="1"/>
  <c r="F29" i="26" s="1"/>
  <c r="V125" i="9"/>
  <c r="V150" i="9" s="1"/>
  <c r="F34" i="26" s="1"/>
  <c r="V126" i="9"/>
  <c r="V151" i="9" s="1"/>
  <c r="F35" i="26" s="1"/>
  <c r="V130" i="9"/>
  <c r="V155" i="9" s="1"/>
  <c r="F39" i="26" s="1"/>
  <c r="V123" i="9"/>
  <c r="V148" i="9" s="1"/>
  <c r="F32" i="26" s="1"/>
  <c r="V118" i="9"/>
  <c r="V143" i="9" s="1"/>
  <c r="F27" i="26" s="1"/>
  <c r="V121" i="9"/>
  <c r="V146" i="9" s="1"/>
  <c r="F30" i="26" s="1"/>
  <c r="V128" i="9"/>
  <c r="V153" i="9" s="1"/>
  <c r="F37" i="26" s="1"/>
  <c r="V129" i="9"/>
  <c r="V154" i="9" s="1"/>
  <c r="F38" i="26" s="1"/>
  <c r="V122" i="9"/>
  <c r="V147" i="9" s="1"/>
  <c r="F31" i="26" s="1"/>
  <c r="D31" i="13"/>
  <c r="T31" i="13"/>
  <c r="AB31" i="13"/>
  <c r="E33" i="13"/>
  <c r="M33" i="13"/>
  <c r="U33" i="13"/>
  <c r="G32" i="13"/>
  <c r="O32" i="13"/>
  <c r="W32" i="13"/>
  <c r="H33" i="13"/>
  <c r="P33" i="13"/>
  <c r="X33" i="13"/>
  <c r="AA80" i="6"/>
  <c r="W92" i="6"/>
  <c r="N16" i="27" s="1"/>
  <c r="AC34" i="4" s="1"/>
  <c r="R151" i="9"/>
  <c r="B35" i="26" s="1"/>
  <c r="W143" i="9"/>
  <c r="G27" i="26" s="1"/>
  <c r="K94" i="9"/>
  <c r="J186" i="9"/>
  <c r="U151" i="9"/>
  <c r="E35" i="26" s="1"/>
  <c r="K186" i="9"/>
  <c r="S235" i="9"/>
  <c r="C47" i="26" s="1"/>
  <c r="Z91" i="6"/>
  <c r="S36" i="6"/>
  <c r="S37" i="6" s="1"/>
  <c r="AB82" i="6"/>
  <c r="AB91" i="6" s="1"/>
  <c r="AC112" i="6" s="1"/>
  <c r="Y83" i="6"/>
  <c r="Z95" i="6"/>
  <c r="U96" i="6"/>
  <c r="O113" i="9"/>
  <c r="J117" i="9"/>
  <c r="U118" i="9"/>
  <c r="W119" i="9"/>
  <c r="W144" i="9" s="1"/>
  <c r="G28" i="26" s="1"/>
  <c r="P120" i="9"/>
  <c r="S121" i="9"/>
  <c r="S146" i="9" s="1"/>
  <c r="C30" i="26" s="1"/>
  <c r="R125" i="9"/>
  <c r="R130" i="9"/>
  <c r="O158" i="9"/>
  <c r="N205" i="9"/>
  <c r="T210" i="9"/>
  <c r="V211" i="9"/>
  <c r="V236" i="9" s="1"/>
  <c r="F48" i="26" s="1"/>
  <c r="R213" i="9"/>
  <c r="U214" i="9"/>
  <c r="U239" i="9" s="1"/>
  <c r="E51" i="26" s="1"/>
  <c r="U217" i="9"/>
  <c r="S219" i="9"/>
  <c r="S244" i="9" s="1"/>
  <c r="C56" i="26" s="1"/>
  <c r="P221" i="9"/>
  <c r="J225" i="9"/>
  <c r="N234" i="9"/>
  <c r="N249" i="9" s="1"/>
  <c r="AG241" i="9"/>
  <c r="L252" i="9"/>
  <c r="J254" i="9"/>
  <c r="O278" i="9"/>
  <c r="R331" i="9"/>
  <c r="B71" i="26" s="1"/>
  <c r="L321" i="9"/>
  <c r="AB71" i="6"/>
  <c r="AA95" i="6"/>
  <c r="V96" i="6"/>
  <c r="K109" i="6"/>
  <c r="K111" i="6"/>
  <c r="K113" i="6"/>
  <c r="K115" i="6"/>
  <c r="N112" i="9"/>
  <c r="N114" i="9" s="1"/>
  <c r="P127" i="9"/>
  <c r="H36" i="28" s="1"/>
  <c r="P129" i="9"/>
  <c r="H38" i="28" s="1"/>
  <c r="J161" i="9"/>
  <c r="M204" i="9"/>
  <c r="O205" i="9"/>
  <c r="J251" i="9"/>
  <c r="AB95" i="6"/>
  <c r="W96" i="6"/>
  <c r="G110" i="6"/>
  <c r="A110" i="6" s="1"/>
  <c r="G112" i="6"/>
  <c r="A112" i="6" s="1"/>
  <c r="G114" i="6"/>
  <c r="A114" i="6" s="1"/>
  <c r="AO105" i="9"/>
  <c r="F33" i="34" s="1"/>
  <c r="O112" i="9"/>
  <c r="O114" i="9" s="1"/>
  <c r="L117" i="9"/>
  <c r="P119" i="9"/>
  <c r="P148" i="9"/>
  <c r="H24" i="32" s="1"/>
  <c r="AN197" i="9"/>
  <c r="E53" i="34" s="1"/>
  <c r="K209" i="9"/>
  <c r="AL190" i="9" s="1"/>
  <c r="C46" i="34" s="1"/>
  <c r="P240" i="9"/>
  <c r="H36" i="32" s="1"/>
  <c r="K251" i="9"/>
  <c r="U95" i="6"/>
  <c r="X96" i="6"/>
  <c r="J113" i="9"/>
  <c r="M137" i="9"/>
  <c r="P147" i="9"/>
  <c r="H23" i="32" s="1"/>
  <c r="L209" i="9"/>
  <c r="P211" i="9"/>
  <c r="H48" i="28" s="1"/>
  <c r="L216" i="9"/>
  <c r="P220" i="9"/>
  <c r="J296" i="9"/>
  <c r="L61" i="6"/>
  <c r="V95" i="6"/>
  <c r="Y96" i="6"/>
  <c r="AQ109" i="9"/>
  <c r="H37" i="34" s="1"/>
  <c r="K113" i="9"/>
  <c r="P118" i="9"/>
  <c r="J124" i="9"/>
  <c r="P126" i="9"/>
  <c r="H35" i="28" s="1"/>
  <c r="J158" i="9"/>
  <c r="J205" i="9"/>
  <c r="J234" i="9"/>
  <c r="AK213" i="9" s="1"/>
  <c r="J53" i="34" s="1"/>
  <c r="P238" i="9"/>
  <c r="H34" i="32" s="1"/>
  <c r="J250" i="9"/>
  <c r="R420" i="9"/>
  <c r="B88" i="26" s="1"/>
  <c r="W95" i="6"/>
  <c r="Z96" i="6"/>
  <c r="L113" i="9"/>
  <c r="AG142" i="9"/>
  <c r="P145" i="9"/>
  <c r="H21" i="32" s="1"/>
  <c r="AD157" i="9"/>
  <c r="U33" i="34" s="1"/>
  <c r="P237" i="9"/>
  <c r="H33" i="32" s="1"/>
  <c r="R337" i="9"/>
  <c r="X95" i="6"/>
  <c r="AA96" i="6"/>
  <c r="P219" i="9"/>
  <c r="P222" i="9"/>
  <c r="R335" i="9"/>
  <c r="B75" i="26" s="1"/>
  <c r="M234" i="9"/>
  <c r="AN213" i="9" s="1"/>
  <c r="M53" i="34" s="1"/>
  <c r="N296" i="9"/>
  <c r="N298" i="9" s="1"/>
  <c r="O298" i="9"/>
  <c r="AQ290" i="9"/>
  <c r="H74" i="34" s="1"/>
  <c r="M296" i="9"/>
  <c r="N297" i="9"/>
  <c r="AL305" i="9"/>
  <c r="K73" i="34" s="1"/>
  <c r="AQ308" i="9"/>
  <c r="P76" i="34" s="1"/>
  <c r="O323" i="9"/>
  <c r="G49" i="32" s="1"/>
  <c r="R339" i="9"/>
  <c r="B79" i="26" s="1"/>
  <c r="L341" i="9"/>
  <c r="AQ387" i="9"/>
  <c r="H99" i="34" s="1"/>
  <c r="AP397" i="9"/>
  <c r="O93" i="34" s="1"/>
  <c r="AQ402" i="9"/>
  <c r="P98" i="34" s="1"/>
  <c r="T419" i="9"/>
  <c r="D87" i="26" s="1"/>
  <c r="R426" i="9"/>
  <c r="B94" i="26" s="1"/>
  <c r="R428" i="9"/>
  <c r="B96" i="26" s="1"/>
  <c r="U486" i="9"/>
  <c r="O297" i="9"/>
  <c r="N301" i="9"/>
  <c r="AM305" i="9"/>
  <c r="L73" i="34" s="1"/>
  <c r="P312" i="9"/>
  <c r="H77" i="28" s="1"/>
  <c r="K315" i="9"/>
  <c r="R332" i="9"/>
  <c r="B72" i="26" s="1"/>
  <c r="M341" i="9"/>
  <c r="J388" i="9"/>
  <c r="K389" i="9"/>
  <c r="J393" i="9"/>
  <c r="AK374" i="9" s="1"/>
  <c r="B86" i="34" s="1"/>
  <c r="P402" i="9"/>
  <c r="H95" i="28" s="1"/>
  <c r="J480" i="9"/>
  <c r="T489" i="9"/>
  <c r="T514" i="9" s="1"/>
  <c r="D110" i="26" s="1"/>
  <c r="L595" i="9"/>
  <c r="P302" i="9"/>
  <c r="H67" i="28" s="1"/>
  <c r="AN305" i="9"/>
  <c r="M73" i="34" s="1"/>
  <c r="T309" i="9"/>
  <c r="AQ311" i="9"/>
  <c r="P79" i="34" s="1"/>
  <c r="N341" i="9"/>
  <c r="O371" i="9"/>
  <c r="P374" i="9"/>
  <c r="L389" i="9"/>
  <c r="W395" i="9"/>
  <c r="W420" i="9" s="1"/>
  <c r="G88" i="26" s="1"/>
  <c r="P397" i="9"/>
  <c r="H90" i="28" s="1"/>
  <c r="M400" i="9"/>
  <c r="AQ401" i="9"/>
  <c r="P97" i="34" s="1"/>
  <c r="R423" i="9"/>
  <c r="B91" i="26" s="1"/>
  <c r="L433" i="9"/>
  <c r="K462" i="9"/>
  <c r="AQ294" i="9"/>
  <c r="H78" i="34" s="1"/>
  <c r="R302" i="9"/>
  <c r="T303" i="9"/>
  <c r="T328" i="9" s="1"/>
  <c r="D68" i="26" s="1"/>
  <c r="AO305" i="9"/>
  <c r="N73" i="34" s="1"/>
  <c r="J308" i="9"/>
  <c r="U309" i="9"/>
  <c r="P311" i="9"/>
  <c r="H76" i="28" s="1"/>
  <c r="O341" i="9"/>
  <c r="L388" i="9"/>
  <c r="M389" i="9"/>
  <c r="L393" i="9"/>
  <c r="V394" i="9"/>
  <c r="P396" i="9"/>
  <c r="H89" i="28" s="1"/>
  <c r="AK397" i="9"/>
  <c r="J93" i="34" s="1"/>
  <c r="P401" i="9"/>
  <c r="H94" i="28" s="1"/>
  <c r="P405" i="9"/>
  <c r="H98" i="28" s="1"/>
  <c r="P425" i="9"/>
  <c r="O433" i="9"/>
  <c r="L462" i="9"/>
  <c r="R487" i="9"/>
  <c r="R497" i="9"/>
  <c r="R490" i="9"/>
  <c r="J297" i="9"/>
  <c r="AP305" i="9"/>
  <c r="O73" i="34" s="1"/>
  <c r="P306" i="9"/>
  <c r="P326" i="9"/>
  <c r="M388" i="9"/>
  <c r="P395" i="9"/>
  <c r="H88" i="28" s="1"/>
  <c r="AL397" i="9"/>
  <c r="K93" i="34" s="1"/>
  <c r="AQ400" i="9"/>
  <c r="P96" i="34" s="1"/>
  <c r="K297" i="9"/>
  <c r="P310" i="9"/>
  <c r="H75" i="28" s="1"/>
  <c r="L323" i="9"/>
  <c r="D49" i="32" s="1"/>
  <c r="N388" i="9"/>
  <c r="AM397" i="9"/>
  <c r="L93" i="34" s="1"/>
  <c r="P404" i="9"/>
  <c r="H97" i="28" s="1"/>
  <c r="P282" i="9"/>
  <c r="P305" i="9"/>
  <c r="H70" i="28" s="1"/>
  <c r="J341" i="9"/>
  <c r="P394" i="9"/>
  <c r="H87" i="28" s="1"/>
  <c r="AN397" i="9"/>
  <c r="M93" i="34" s="1"/>
  <c r="O480" i="9"/>
  <c r="U495" i="9"/>
  <c r="U520" i="9" s="1"/>
  <c r="E116" i="26" s="1"/>
  <c r="L371" i="9"/>
  <c r="AO397" i="9"/>
  <c r="N93" i="34" s="1"/>
  <c r="V496" i="9"/>
  <c r="V521" i="9" s="1"/>
  <c r="F117" i="26" s="1"/>
  <c r="M463" i="9"/>
  <c r="AQ479" i="9"/>
  <c r="H119" i="34" s="1"/>
  <c r="J481" i="9"/>
  <c r="S486" i="9"/>
  <c r="U487" i="9"/>
  <c r="U512" i="9" s="1"/>
  <c r="E108" i="26" s="1"/>
  <c r="AP489" i="9"/>
  <c r="O113" i="34" s="1"/>
  <c r="K492" i="9"/>
  <c r="AQ494" i="9"/>
  <c r="P118" i="34" s="1"/>
  <c r="O532" i="9"/>
  <c r="K555" i="9"/>
  <c r="P577" i="9"/>
  <c r="H128" i="28" s="1"/>
  <c r="N590" i="9"/>
  <c r="V579" i="9" s="1"/>
  <c r="V602" i="9" s="1"/>
  <c r="F130" i="26" s="1"/>
  <c r="S579" i="9"/>
  <c r="S602" i="9" s="1"/>
  <c r="C130" i="26" s="1"/>
  <c r="AN581" i="9"/>
  <c r="M132" i="34" s="1"/>
  <c r="S584" i="9"/>
  <c r="S607" i="9" s="1"/>
  <c r="C135" i="26" s="1"/>
  <c r="P494" i="9"/>
  <c r="H115" i="28" s="1"/>
  <c r="J525" i="9"/>
  <c r="AQ567" i="9"/>
  <c r="H135" i="34" s="1"/>
  <c r="M593" i="9"/>
  <c r="M595" i="9"/>
  <c r="AO581" i="9"/>
  <c r="N132" i="34" s="1"/>
  <c r="AQ586" i="9"/>
  <c r="P137" i="34" s="1"/>
  <c r="P466" i="9"/>
  <c r="L481" i="9"/>
  <c r="P489" i="9"/>
  <c r="H110" i="28" s="1"/>
  <c r="M492" i="9"/>
  <c r="AN473" i="9" s="1"/>
  <c r="E113" i="34" s="1"/>
  <c r="AQ493" i="9"/>
  <c r="P117" i="34" s="1"/>
  <c r="O505" i="9"/>
  <c r="K525" i="9"/>
  <c r="J571" i="9"/>
  <c r="O575" i="9"/>
  <c r="P576" i="9"/>
  <c r="H127" i="28" s="1"/>
  <c r="AP581" i="9"/>
  <c r="O132" i="34" s="1"/>
  <c r="P582" i="9"/>
  <c r="H133" i="28" s="1"/>
  <c r="P586" i="9"/>
  <c r="H137" i="28" s="1"/>
  <c r="M481" i="9"/>
  <c r="R489" i="9"/>
  <c r="P493" i="9"/>
  <c r="H114" i="28" s="1"/>
  <c r="P510" i="9"/>
  <c r="L525" i="9"/>
  <c r="N555" i="9"/>
  <c r="AN561" i="9"/>
  <c r="E129" i="34" s="1"/>
  <c r="AM563" i="9"/>
  <c r="D131" i="34" s="1"/>
  <c r="AN564" i="9"/>
  <c r="E132" i="34" s="1"/>
  <c r="M590" i="9"/>
  <c r="U578" i="9" s="1"/>
  <c r="U601" i="9" s="1"/>
  <c r="E129" i="26" s="1"/>
  <c r="K571" i="9"/>
  <c r="R576" i="9"/>
  <c r="M480" i="9"/>
  <c r="AQ492" i="9"/>
  <c r="P116" i="34" s="1"/>
  <c r="M525" i="9"/>
  <c r="K570" i="9"/>
  <c r="U664" i="9"/>
  <c r="U687" i="9" s="1"/>
  <c r="E148" i="26" s="1"/>
  <c r="N480" i="9"/>
  <c r="AM489" i="9"/>
  <c r="L113" i="34" s="1"/>
  <c r="N525" i="9"/>
  <c r="L570" i="9"/>
  <c r="J575" i="9"/>
  <c r="AK581" i="9"/>
  <c r="J132" i="34" s="1"/>
  <c r="P486" i="9"/>
  <c r="H107" i="28" s="1"/>
  <c r="P564" i="9"/>
  <c r="P570" i="9" s="1"/>
  <c r="N571" i="9"/>
  <c r="AL581" i="9"/>
  <c r="K132" i="34" s="1"/>
  <c r="J555" i="9"/>
  <c r="L590" i="9"/>
  <c r="T583" i="9" s="1"/>
  <c r="O571" i="9"/>
  <c r="AM581" i="9"/>
  <c r="L132" i="34" s="1"/>
  <c r="AP643" i="9"/>
  <c r="G144" i="34" s="1"/>
  <c r="P598" i="9"/>
  <c r="O640" i="9"/>
  <c r="P643" i="9"/>
  <c r="AO649" i="9"/>
  <c r="F150" i="34" s="1"/>
  <c r="L656" i="9"/>
  <c r="S661" i="9"/>
  <c r="U662" i="9"/>
  <c r="U685" i="9" s="1"/>
  <c r="E146" i="26" s="1"/>
  <c r="S667" i="9"/>
  <c r="K710" i="9" s="1"/>
  <c r="P670" i="9"/>
  <c r="AQ653" i="9" s="1"/>
  <c r="H154" i="34" s="1"/>
  <c r="S671" i="9"/>
  <c r="S694" i="9" s="1"/>
  <c r="C155" i="26" s="1"/>
  <c r="AK679" i="9"/>
  <c r="AM681" i="9"/>
  <c r="AM682" i="9"/>
  <c r="AO683" i="9"/>
  <c r="N696" i="9"/>
  <c r="AM751" i="9"/>
  <c r="L166" i="34" s="1"/>
  <c r="L781" i="9"/>
  <c r="S746" i="9"/>
  <c r="AO751" i="9"/>
  <c r="N166" i="34" s="1"/>
  <c r="AQ755" i="9"/>
  <c r="P170" i="34" s="1"/>
  <c r="T831" i="9"/>
  <c r="T854" i="9" s="1"/>
  <c r="D178" i="26" s="1"/>
  <c r="L655" i="9"/>
  <c r="AK666" i="9"/>
  <c r="J150" i="34" s="1"/>
  <c r="AQ669" i="9"/>
  <c r="P153" i="34" s="1"/>
  <c r="AL679" i="9"/>
  <c r="AM680" i="9"/>
  <c r="AN682" i="9"/>
  <c r="O696" i="9"/>
  <c r="J704" i="9"/>
  <c r="B110" i="33" s="1"/>
  <c r="M781" i="9"/>
  <c r="AN751" i="9"/>
  <c r="M166" i="34" s="1"/>
  <c r="J740" i="9"/>
  <c r="R838" i="9"/>
  <c r="R836" i="9"/>
  <c r="M655" i="9"/>
  <c r="N656" i="9"/>
  <c r="K660" i="9"/>
  <c r="P664" i="9"/>
  <c r="H148" i="28" s="1"/>
  <c r="AL666" i="9"/>
  <c r="K150" i="34" s="1"/>
  <c r="P669" i="9"/>
  <c r="AM679" i="9"/>
  <c r="AN680" i="9"/>
  <c r="AO681" i="9"/>
  <c r="AO682" i="9"/>
  <c r="AQ752" i="9"/>
  <c r="P167" i="34" s="1"/>
  <c r="T839" i="9"/>
  <c r="T862" i="9" s="1"/>
  <c r="D186" i="26" s="1"/>
  <c r="AL644" i="9"/>
  <c r="C145" i="34" s="1"/>
  <c r="N655" i="9"/>
  <c r="O656" i="9"/>
  <c r="P663" i="9"/>
  <c r="H147" i="28" s="1"/>
  <c r="K666" i="9"/>
  <c r="AL649" i="9" s="1"/>
  <c r="C150" i="34" s="1"/>
  <c r="AM666" i="9"/>
  <c r="L150" i="34" s="1"/>
  <c r="AQ668" i="9"/>
  <c r="P152" i="34" s="1"/>
  <c r="N680" i="9"/>
  <c r="F95" i="32" s="1"/>
  <c r="P683" i="9"/>
  <c r="J760" i="9"/>
  <c r="R748" i="9" s="1"/>
  <c r="AO732" i="9"/>
  <c r="F164" i="34" s="1"/>
  <c r="O781" i="9"/>
  <c r="AP751" i="9"/>
  <c r="O166" i="34" s="1"/>
  <c r="L740" i="9"/>
  <c r="J745" i="9"/>
  <c r="AK728" i="9" s="1"/>
  <c r="B160" i="34" s="1"/>
  <c r="AL766" i="9"/>
  <c r="S754" i="9"/>
  <c r="S777" i="9" s="1"/>
  <c r="C169" i="26" s="1"/>
  <c r="K640" i="9"/>
  <c r="P662" i="9"/>
  <c r="H146" i="28" s="1"/>
  <c r="AN666" i="9"/>
  <c r="M150" i="34" s="1"/>
  <c r="P668" i="9"/>
  <c r="S669" i="9"/>
  <c r="S692" i="9" s="1"/>
  <c r="C153" i="26" s="1"/>
  <c r="AK683" i="9"/>
  <c r="J696" i="9"/>
  <c r="M740" i="9"/>
  <c r="K751" i="9"/>
  <c r="AL763" i="9" s="1"/>
  <c r="AL765" i="9"/>
  <c r="S753" i="9"/>
  <c r="S776" i="9" s="1"/>
  <c r="C168" i="26" s="1"/>
  <c r="P753" i="9"/>
  <c r="AQ736" i="9" s="1"/>
  <c r="H168" i="34" s="1"/>
  <c r="AN767" i="9"/>
  <c r="P755" i="9"/>
  <c r="H170" i="28" s="1"/>
  <c r="U755" i="9"/>
  <c r="U778" i="9" s="1"/>
  <c r="E170" i="26" s="1"/>
  <c r="AQ671" i="9"/>
  <c r="P155" i="34" s="1"/>
  <c r="AP679" i="9"/>
  <c r="AL683" i="9"/>
  <c r="K696" i="9"/>
  <c r="L760" i="9"/>
  <c r="T750" i="9" s="1"/>
  <c r="T773" i="9" s="1"/>
  <c r="D165" i="26" s="1"/>
  <c r="N740" i="9"/>
  <c r="M745" i="9"/>
  <c r="P749" i="9"/>
  <c r="H164" i="28" s="1"/>
  <c r="AN766" i="9"/>
  <c r="U754" i="9"/>
  <c r="U777" i="9" s="1"/>
  <c r="E169" i="26" s="1"/>
  <c r="J781" i="9"/>
  <c r="AK751" i="9"/>
  <c r="J166" i="34" s="1"/>
  <c r="P746" i="9"/>
  <c r="H161" i="28" s="1"/>
  <c r="AP767" i="9"/>
  <c r="M808" i="9"/>
  <c r="L725" i="9"/>
  <c r="AL751" i="9"/>
  <c r="K166" i="34" s="1"/>
  <c r="K781" i="9"/>
  <c r="AP764" i="9"/>
  <c r="U837" i="9"/>
  <c r="U860" i="9" s="1"/>
  <c r="E184" i="26" s="1"/>
  <c r="J809" i="9"/>
  <c r="O824" i="9"/>
  <c r="K829" i="9"/>
  <c r="R833" i="9"/>
  <c r="L835" i="9"/>
  <c r="AM818" i="9" s="1"/>
  <c r="D182" i="34" s="1"/>
  <c r="AN835" i="9"/>
  <c r="M182" i="34" s="1"/>
  <c r="P837" i="9"/>
  <c r="H184" i="28" s="1"/>
  <c r="S838" i="9"/>
  <c r="S861" i="9" s="1"/>
  <c r="C185" i="26" s="1"/>
  <c r="AN848" i="9"/>
  <c r="AK766" i="9"/>
  <c r="P832" i="9"/>
  <c r="H179" i="28" s="1"/>
  <c r="AQ836" i="9"/>
  <c r="P183" i="34" s="1"/>
  <c r="AQ840" i="9"/>
  <c r="P187" i="34" s="1"/>
  <c r="N751" i="9"/>
  <c r="F166" i="28" s="1"/>
  <c r="P752" i="9"/>
  <c r="P756" i="9"/>
  <c r="H171" i="28" s="1"/>
  <c r="AL767" i="9"/>
  <c r="AN768" i="9"/>
  <c r="L809" i="9"/>
  <c r="AK815" i="9"/>
  <c r="B179" i="34" s="1"/>
  <c r="AK816" i="9"/>
  <c r="B180" i="34" s="1"/>
  <c r="M829" i="9"/>
  <c r="AN841" i="9" s="1"/>
  <c r="M188" i="34" s="1"/>
  <c r="R832" i="9"/>
  <c r="N835" i="9"/>
  <c r="AP835" i="9"/>
  <c r="O182" i="34" s="1"/>
  <c r="P836" i="9"/>
  <c r="AQ819" i="9" s="1"/>
  <c r="H183" i="34" s="1"/>
  <c r="S837" i="9"/>
  <c r="S860" i="9" s="1"/>
  <c r="C184" i="26" s="1"/>
  <c r="P840" i="9"/>
  <c r="AP848" i="9"/>
  <c r="M873" i="9"/>
  <c r="E132" i="33" s="1"/>
  <c r="M849" i="9"/>
  <c r="E113" i="32" s="1"/>
  <c r="AQ896" i="9"/>
  <c r="H193" i="34" s="1"/>
  <c r="J824" i="9"/>
  <c r="O829" i="9"/>
  <c r="P839" i="9"/>
  <c r="AQ822" i="9" s="1"/>
  <c r="H186" i="34" s="1"/>
  <c r="AL849" i="9"/>
  <c r="AO852" i="9"/>
  <c r="P750" i="9"/>
  <c r="H165" i="28" s="1"/>
  <c r="O809" i="9"/>
  <c r="P812" i="9"/>
  <c r="P834" i="9"/>
  <c r="H181" i="28" s="1"/>
  <c r="AK835" i="9"/>
  <c r="J182" i="34" s="1"/>
  <c r="T836" i="9"/>
  <c r="L879" i="9" s="1"/>
  <c r="AQ838" i="9"/>
  <c r="P185" i="34" s="1"/>
  <c r="R839" i="9"/>
  <c r="T840" i="9"/>
  <c r="T863" i="9" s="1"/>
  <c r="D187" i="26" s="1"/>
  <c r="AK848" i="9"/>
  <c r="P754" i="9"/>
  <c r="AQ737" i="9" s="1"/>
  <c r="H169" i="34" s="1"/>
  <c r="AL835" i="9"/>
  <c r="K182" i="34" s="1"/>
  <c r="P838" i="9"/>
  <c r="S839" i="9"/>
  <c r="S862" i="9" s="1"/>
  <c r="C186" i="26" s="1"/>
  <c r="R916" i="9"/>
  <c r="AM835" i="9"/>
  <c r="L182" i="34" s="1"/>
  <c r="J873" i="9"/>
  <c r="B132" i="33" s="1"/>
  <c r="P852" i="9"/>
  <c r="AP895" i="9"/>
  <c r="G192" i="34" s="1"/>
  <c r="K907" i="9"/>
  <c r="J912" i="9"/>
  <c r="AK918" i="9"/>
  <c r="J198" i="34" s="1"/>
  <c r="AQ921" i="9"/>
  <c r="P201" i="34" s="1"/>
  <c r="J932" i="9"/>
  <c r="AK932" i="9"/>
  <c r="O948" i="9"/>
  <c r="M978" i="9"/>
  <c r="P980" i="9"/>
  <c r="M984" i="9"/>
  <c r="P986" i="9"/>
  <c r="K1002" i="9"/>
  <c r="S2" i="37"/>
  <c r="L907" i="9"/>
  <c r="AL918" i="9"/>
  <c r="K198" i="34" s="1"/>
  <c r="P921" i="9"/>
  <c r="AK930" i="9"/>
  <c r="AL932" i="9"/>
  <c r="AL933" i="9"/>
  <c r="L956" i="9"/>
  <c r="D143" i="33" s="1"/>
  <c r="L1002" i="9"/>
  <c r="L24" i="37"/>
  <c r="L2" i="37"/>
  <c r="T2" i="37"/>
  <c r="O27" i="37"/>
  <c r="M907" i="9"/>
  <c r="L912" i="9"/>
  <c r="AM895" i="9" s="1"/>
  <c r="D192" i="34" s="1"/>
  <c r="P916" i="9"/>
  <c r="H196" i="28" s="1"/>
  <c r="K918" i="9"/>
  <c r="AM918" i="9"/>
  <c r="L198" i="34" s="1"/>
  <c r="AQ920" i="9"/>
  <c r="P200" i="34" s="1"/>
  <c r="AL931" i="9"/>
  <c r="AM933" i="9"/>
  <c r="AN934" i="9"/>
  <c r="AP935" i="9"/>
  <c r="M1010" i="9"/>
  <c r="L997" i="9"/>
  <c r="X76" i="35"/>
  <c r="X73" i="35"/>
  <c r="U24" i="37"/>
  <c r="H65" i="37"/>
  <c r="H27" i="37"/>
  <c r="P27" i="37"/>
  <c r="P901" i="9"/>
  <c r="N907" i="9"/>
  <c r="P915" i="9"/>
  <c r="H195" i="28" s="1"/>
  <c r="L918" i="9"/>
  <c r="AM930" i="9" s="1"/>
  <c r="AN918" i="9"/>
  <c r="M198" i="34" s="1"/>
  <c r="P920" i="9"/>
  <c r="H200" i="28" s="1"/>
  <c r="AM931" i="9"/>
  <c r="AN932" i="9"/>
  <c r="AN933" i="9"/>
  <c r="AO934" i="9"/>
  <c r="J948" i="9"/>
  <c r="J1010" i="9"/>
  <c r="P982" i="9"/>
  <c r="P914" i="9"/>
  <c r="H194" i="28" s="1"/>
  <c r="M918" i="9"/>
  <c r="E198" i="28" s="1"/>
  <c r="AO918" i="9"/>
  <c r="N198" i="34" s="1"/>
  <c r="AP934" i="9"/>
  <c r="P935" i="9"/>
  <c r="K948" i="9"/>
  <c r="O956" i="9"/>
  <c r="G143" i="33" s="1"/>
  <c r="L1010" i="9"/>
  <c r="T999" i="9" s="1"/>
  <c r="T1022" i="9" s="1"/>
  <c r="K996" i="9"/>
  <c r="P923" i="9"/>
  <c r="AQ935" i="9" s="1"/>
  <c r="AP933" i="9"/>
  <c r="J978" i="9"/>
  <c r="J991" i="9" s="1"/>
  <c r="U2" i="37"/>
  <c r="O47" i="37"/>
  <c r="AL935" i="9"/>
  <c r="M948" i="9"/>
  <c r="H47" i="37"/>
  <c r="P47" i="37"/>
  <c r="P922" i="9"/>
  <c r="AG6" i="35"/>
  <c r="AE8" i="35"/>
  <c r="AH9" i="35"/>
  <c r="AF11" i="35"/>
  <c r="AF14" i="35"/>
  <c r="AI15" i="35"/>
  <c r="AG17" i="35"/>
  <c r="J20" i="35"/>
  <c r="J22" i="35" s="1"/>
  <c r="R20" i="35"/>
  <c r="R69" i="35" s="1"/>
  <c r="AI46" i="35"/>
  <c r="N67" i="35"/>
  <c r="N71" i="35" s="1"/>
  <c r="V67" i="35"/>
  <c r="V71" i="35" s="1"/>
  <c r="M68" i="35"/>
  <c r="M72" i="35" s="1"/>
  <c r="U68" i="35"/>
  <c r="U72" i="35" s="1"/>
  <c r="AG10" i="24"/>
  <c r="Z11" i="24"/>
  <c r="I32" i="24"/>
  <c r="I42" i="24" s="1"/>
  <c r="Q32" i="24"/>
  <c r="Q42" i="24" s="1"/>
  <c r="Q43" i="24" s="1"/>
  <c r="Y32" i="24"/>
  <c r="Y42" i="24" s="1"/>
  <c r="Y43" i="24" s="1"/>
  <c r="AF55" i="24"/>
  <c r="U164" i="24"/>
  <c r="K45" i="37"/>
  <c r="K47" i="37" s="1"/>
  <c r="S45" i="37"/>
  <c r="S47" i="37" s="1"/>
  <c r="G51" i="37"/>
  <c r="O51" i="37"/>
  <c r="F58" i="37"/>
  <c r="N58" i="37"/>
  <c r="P27" i="38"/>
  <c r="AH6" i="35"/>
  <c r="AF8" i="35"/>
  <c r="AI9" i="35"/>
  <c r="AG11" i="35"/>
  <c r="AG14" i="35"/>
  <c r="AE16" i="35"/>
  <c r="AH17" i="35"/>
  <c r="K20" i="35"/>
  <c r="K69" i="35" s="1"/>
  <c r="S20" i="35"/>
  <c r="S69" i="35" s="1"/>
  <c r="AA20" i="35"/>
  <c r="X22" i="35"/>
  <c r="AG55" i="35"/>
  <c r="O67" i="35"/>
  <c r="O71" i="35" s="1"/>
  <c r="W67" i="35"/>
  <c r="W71" i="35" s="1"/>
  <c r="N68" i="35"/>
  <c r="N72" i="35" s="1"/>
  <c r="V68" i="35"/>
  <c r="V72" i="35" s="1"/>
  <c r="AH10" i="24"/>
  <c r="L128" i="24"/>
  <c r="T128" i="24"/>
  <c r="V164" i="24"/>
  <c r="M22" i="37"/>
  <c r="M2" i="37" s="1"/>
  <c r="U64" i="37"/>
  <c r="L45" i="37"/>
  <c r="L47" i="37" s="1"/>
  <c r="T45" i="37"/>
  <c r="H51" i="37"/>
  <c r="P51" i="37"/>
  <c r="G58" i="37"/>
  <c r="O58" i="37"/>
  <c r="I82" i="6"/>
  <c r="I91" i="6" s="1"/>
  <c r="AI6" i="35"/>
  <c r="AG8" i="35"/>
  <c r="AE10" i="35"/>
  <c r="AH11" i="35"/>
  <c r="AH14" i="35"/>
  <c r="AF16" i="35"/>
  <c r="AI17" i="35"/>
  <c r="L20" i="35"/>
  <c r="L69" i="35" s="1"/>
  <c r="T20" i="35"/>
  <c r="AH55" i="35"/>
  <c r="P67" i="35"/>
  <c r="P71" i="35" s="1"/>
  <c r="X67" i="35"/>
  <c r="X71" i="35" s="1"/>
  <c r="T11" i="24"/>
  <c r="U128" i="24"/>
  <c r="W164" i="24"/>
  <c r="H58" i="37"/>
  <c r="P58" i="37"/>
  <c r="AE7" i="35"/>
  <c r="AH8" i="35"/>
  <c r="AF10" i="35"/>
  <c r="AI11" i="35"/>
  <c r="AI14" i="35"/>
  <c r="AG16" i="35"/>
  <c r="AE18" i="35"/>
  <c r="E20" i="35"/>
  <c r="E69" i="35" s="1"/>
  <c r="M20" i="35"/>
  <c r="M69" i="35" s="1"/>
  <c r="U20" i="35"/>
  <c r="U69" i="35" s="1"/>
  <c r="AI55" i="35"/>
  <c r="Z55" i="35"/>
  <c r="Z68" i="35" s="1"/>
  <c r="Z72" i="35" s="1"/>
  <c r="Q67" i="35"/>
  <c r="Q71" i="35" s="1"/>
  <c r="Y67" i="35"/>
  <c r="Y71" i="35" s="1"/>
  <c r="P68" i="35"/>
  <c r="P72" i="35" s="1"/>
  <c r="N128" i="24"/>
  <c r="V128" i="24"/>
  <c r="X164" i="24"/>
  <c r="F45" i="37"/>
  <c r="F47" i="37" s="1"/>
  <c r="N45" i="37"/>
  <c r="N47" i="37" s="1"/>
  <c r="J51" i="37"/>
  <c r="R51" i="37"/>
  <c r="AF7" i="35"/>
  <c r="AI8" i="35"/>
  <c r="AG10" i="35"/>
  <c r="AE15" i="35"/>
  <c r="AH16" i="35"/>
  <c r="AF18" i="35"/>
  <c r="J67" i="35"/>
  <c r="J71" i="35" s="1"/>
  <c r="R67" i="35"/>
  <c r="R71" i="35" s="1"/>
  <c r="Q68" i="35"/>
  <c r="Q72" i="35" s="1"/>
  <c r="O128" i="24"/>
  <c r="W128" i="24"/>
  <c r="N127" i="24"/>
  <c r="Y164" i="24"/>
  <c r="U38" i="37"/>
  <c r="U58" i="37" s="1"/>
  <c r="AG7" i="35"/>
  <c r="AE9" i="35"/>
  <c r="AH10" i="35"/>
  <c r="AF15" i="35"/>
  <c r="AI16" i="35"/>
  <c r="AG18" i="35"/>
  <c r="O20" i="35"/>
  <c r="O22" i="35" s="1"/>
  <c r="S67" i="35"/>
  <c r="S71" i="35" s="1"/>
  <c r="R68" i="35"/>
  <c r="R72" i="35" s="1"/>
  <c r="H128" i="24"/>
  <c r="P128" i="24"/>
  <c r="X128" i="24"/>
  <c r="O127" i="24"/>
  <c r="U26" i="37"/>
  <c r="AE6" i="35"/>
  <c r="AF9" i="35"/>
  <c r="AI10" i="35"/>
  <c r="AE17" i="35"/>
  <c r="AH18" i="35"/>
  <c r="P20" i="35"/>
  <c r="P69" i="35" s="1"/>
  <c r="AA46" i="35"/>
  <c r="T67" i="35"/>
  <c r="T71" i="35" s="1"/>
  <c r="S68" i="35"/>
  <c r="S72" i="35" s="1"/>
  <c r="X11" i="24"/>
  <c r="I128" i="24"/>
  <c r="Q128" i="24"/>
  <c r="P127" i="24"/>
  <c r="AF6" i="35"/>
  <c r="AI18" i="35"/>
  <c r="J128" i="24"/>
  <c r="AF121" i="24"/>
  <c r="T127" i="24"/>
  <c r="J82" i="6"/>
  <c r="J91" i="6" s="1"/>
  <c r="AB2" i="24"/>
  <c r="AI9" i="24"/>
  <c r="AI8" i="24"/>
  <c r="AF27" i="20"/>
  <c r="AF35" i="20"/>
  <c r="AF15" i="20"/>
  <c r="AH23" i="20"/>
  <c r="AG23" i="20"/>
  <c r="K128" i="24"/>
  <c r="Q127" i="24"/>
  <c r="W127" i="24"/>
  <c r="Z128" i="24"/>
  <c r="F128" i="24"/>
  <c r="R128" i="24"/>
  <c r="M128" i="24"/>
  <c r="Y128" i="24"/>
  <c r="L127" i="24"/>
  <c r="X127" i="24"/>
  <c r="G128" i="24"/>
  <c r="S128" i="24"/>
  <c r="AH35" i="20"/>
  <c r="D48" i="6"/>
  <c r="J48" i="6"/>
  <c r="G48" i="6"/>
  <c r="H48" i="6"/>
  <c r="L704" i="9"/>
  <c r="J18" i="24"/>
  <c r="R18" i="24"/>
  <c r="K18" i="24"/>
  <c r="E48" i="6"/>
  <c r="J95" i="6"/>
  <c r="F48" i="6"/>
  <c r="K873" i="9"/>
  <c r="S18" i="24"/>
  <c r="AA2" i="24"/>
  <c r="J78" i="24"/>
  <c r="R78" i="24"/>
  <c r="Z78" i="24"/>
  <c r="K79" i="24"/>
  <c r="S79" i="24"/>
  <c r="AA79" i="24"/>
  <c r="L80" i="24"/>
  <c r="T80" i="24"/>
  <c r="AB80" i="24"/>
  <c r="AG27" i="20"/>
  <c r="F18" i="24"/>
  <c r="N18" i="24"/>
  <c r="I78" i="24"/>
  <c r="Q78" i="24"/>
  <c r="R79" i="24"/>
  <c r="Z79" i="24"/>
  <c r="K80" i="24"/>
  <c r="S80" i="24"/>
  <c r="AJ8" i="24"/>
  <c r="AG15" i="20"/>
  <c r="B15" i="20"/>
  <c r="AH15" i="20"/>
  <c r="L18" i="24"/>
  <c r="T18" i="24"/>
  <c r="M18" i="24"/>
  <c r="AA76" i="24"/>
  <c r="AI74" i="24" s="1"/>
  <c r="H82" i="6"/>
  <c r="H89" i="6" s="1"/>
  <c r="H59" i="6"/>
  <c r="B32" i="13"/>
  <c r="J32" i="13"/>
  <c r="R32" i="13"/>
  <c r="Z32" i="13"/>
  <c r="K33" i="13"/>
  <c r="M956" i="9"/>
  <c r="O704" i="9"/>
  <c r="X76" i="24"/>
  <c r="AB71" i="24"/>
  <c r="AJ68" i="24" s="1"/>
  <c r="H39" i="24"/>
  <c r="P39" i="24"/>
  <c r="P30" i="24" s="1"/>
  <c r="X39" i="24"/>
  <c r="X30" i="24" s="1"/>
  <c r="K39" i="24"/>
  <c r="K30" i="24" s="1"/>
  <c r="X46" i="24"/>
  <c r="S39" i="24"/>
  <c r="S30" i="24" s="1"/>
  <c r="J39" i="24"/>
  <c r="J30" i="24" s="1"/>
  <c r="R39" i="24"/>
  <c r="Z39" i="24"/>
  <c r="Z30" i="24" s="1"/>
  <c r="AA39" i="24"/>
  <c r="E31" i="13"/>
  <c r="M31" i="13"/>
  <c r="U31" i="13"/>
  <c r="C32" i="13"/>
  <c r="K32" i="13"/>
  <c r="S32" i="13"/>
  <c r="AA32" i="13"/>
  <c r="I33" i="13"/>
  <c r="Q33" i="13"/>
  <c r="Y33" i="13"/>
  <c r="K36" i="6"/>
  <c r="K37" i="6" s="1"/>
  <c r="H92" i="6"/>
  <c r="J83" i="6"/>
  <c r="F31" i="13"/>
  <c r="N31" i="13"/>
  <c r="V31" i="13"/>
  <c r="D32" i="13"/>
  <c r="L32" i="13"/>
  <c r="T32" i="13"/>
  <c r="AB32" i="13"/>
  <c r="B33" i="13"/>
  <c r="J33" i="13"/>
  <c r="R33" i="13"/>
  <c r="Z33" i="13"/>
  <c r="P36" i="6"/>
  <c r="P37" i="6" s="1"/>
  <c r="H31" i="13"/>
  <c r="P31" i="13"/>
  <c r="X31" i="13"/>
  <c r="F32" i="13"/>
  <c r="N32" i="13"/>
  <c r="V32" i="13"/>
  <c r="D33" i="13"/>
  <c r="L33" i="13"/>
  <c r="T33" i="13"/>
  <c r="AB33" i="13"/>
  <c r="M51" i="6"/>
  <c r="M52" i="6" s="1"/>
  <c r="M60" i="6" s="1"/>
  <c r="K95" i="6"/>
  <c r="E24" i="38"/>
  <c r="C48" i="6"/>
  <c r="U51" i="6"/>
  <c r="U52" i="6" s="1"/>
  <c r="D92" i="6"/>
  <c r="M24" i="38"/>
  <c r="B31" i="13"/>
  <c r="J31" i="13"/>
  <c r="R31" i="13"/>
  <c r="Z31" i="13"/>
  <c r="H32" i="13"/>
  <c r="P32" i="13"/>
  <c r="X32" i="13"/>
  <c r="F33" i="13"/>
  <c r="N33" i="13"/>
  <c r="V33" i="13"/>
  <c r="C25" i="38"/>
  <c r="G31" i="13"/>
  <c r="O31" i="13"/>
  <c r="W31" i="13"/>
  <c r="E32" i="13"/>
  <c r="M32" i="13"/>
  <c r="U32" i="13"/>
  <c r="C33" i="13"/>
  <c r="S33" i="13"/>
  <c r="AA33" i="13"/>
  <c r="C31" i="13"/>
  <c r="K31" i="13"/>
  <c r="S31" i="13"/>
  <c r="AA31" i="13"/>
  <c r="I32" i="13"/>
  <c r="Q32" i="13"/>
  <c r="Y32" i="13"/>
  <c r="G33" i="13"/>
  <c r="O33" i="13"/>
  <c r="W33" i="13"/>
  <c r="K25" i="38"/>
  <c r="C15" i="36"/>
  <c r="G92" i="6"/>
  <c r="J58" i="6"/>
  <c r="J60" i="6" s="1"/>
  <c r="J96" i="6"/>
  <c r="T25" i="38"/>
  <c r="N84" i="6"/>
  <c r="E9" i="27" s="1"/>
  <c r="E7" i="27" s="1"/>
  <c r="V84" i="6"/>
  <c r="M84" i="6"/>
  <c r="D9" i="27" s="1"/>
  <c r="D7" i="27" s="1"/>
  <c r="M80" i="6"/>
  <c r="M91" i="6"/>
  <c r="U84" i="6"/>
  <c r="U91" i="6"/>
  <c r="R120" i="6"/>
  <c r="U55" i="37"/>
  <c r="N91" i="6"/>
  <c r="V80" i="6"/>
  <c r="V91" i="6"/>
  <c r="V89" i="6"/>
  <c r="M19" i="27" s="1"/>
  <c r="R92" i="6"/>
  <c r="R80" i="6"/>
  <c r="Y120" i="6"/>
  <c r="AA65" i="35"/>
  <c r="M16" i="27"/>
  <c r="AB34" i="4" s="1"/>
  <c r="U54" i="37"/>
  <c r="X120" i="6"/>
  <c r="P120" i="6"/>
  <c r="W120" i="6"/>
  <c r="O120" i="6"/>
  <c r="V120" i="6"/>
  <c r="U120" i="6"/>
  <c r="M120" i="6"/>
  <c r="K120" i="6"/>
  <c r="AA120" i="6"/>
  <c r="Z46" i="35"/>
  <c r="K91" i="6"/>
  <c r="B14" i="27" s="1"/>
  <c r="AA91" i="6"/>
  <c r="P92" i="6"/>
  <c r="X92" i="6"/>
  <c r="L91" i="6"/>
  <c r="K84" i="6"/>
  <c r="K93" i="6" s="1"/>
  <c r="K92" i="6"/>
  <c r="B16" i="27" s="1"/>
  <c r="Q34" i="4" s="1"/>
  <c r="AA92" i="6"/>
  <c r="L84" i="6"/>
  <c r="L106" i="6" s="1"/>
  <c r="L92" i="6"/>
  <c r="T92" i="6"/>
  <c r="AB92" i="6"/>
  <c r="AC113" i="6" s="1"/>
  <c r="M92" i="6"/>
  <c r="AG158" i="9"/>
  <c r="X34" i="34" s="1"/>
  <c r="AG149" i="9"/>
  <c r="AF157" i="9"/>
  <c r="W33" i="34" s="1"/>
  <c r="AO122" i="9"/>
  <c r="N34" i="34" s="1"/>
  <c r="N142" i="9"/>
  <c r="AB157" i="9"/>
  <c r="S33" i="34" s="1"/>
  <c r="R60" i="6"/>
  <c r="R63" i="6" s="1"/>
  <c r="L51" i="6"/>
  <c r="L52" i="6" s="1"/>
  <c r="L36" i="6"/>
  <c r="L37" i="6" s="1"/>
  <c r="T51" i="6"/>
  <c r="T52" i="6" s="1"/>
  <c r="T36" i="6"/>
  <c r="T37" i="6" s="1"/>
  <c r="K799" i="9"/>
  <c r="C121" i="33"/>
  <c r="D132" i="33"/>
  <c r="B143" i="33"/>
  <c r="H32" i="24"/>
  <c r="H42" i="24" s="1"/>
  <c r="H27" i="24"/>
  <c r="P32" i="24"/>
  <c r="P42" i="24" s="1"/>
  <c r="P43" i="24" s="1"/>
  <c r="P27" i="24"/>
  <c r="X32" i="24"/>
  <c r="X42" i="24" s="1"/>
  <c r="X43" i="24" s="1"/>
  <c r="X27" i="24"/>
  <c r="M89" i="6"/>
  <c r="E83" i="6"/>
  <c r="E58" i="6"/>
  <c r="E61" i="6" s="1"/>
  <c r="Q60" i="6"/>
  <c r="Q63" i="6" s="1"/>
  <c r="Q64" i="6" s="1"/>
  <c r="AH30" i="20"/>
  <c r="S60" i="6"/>
  <c r="D82" i="6"/>
  <c r="AG30" i="20"/>
  <c r="Q36" i="6"/>
  <c r="Q37" i="6" s="1"/>
  <c r="N51" i="6"/>
  <c r="N52" i="6" s="1"/>
  <c r="V51" i="6"/>
  <c r="V52" i="6" s="1"/>
  <c r="K58" i="6"/>
  <c r="K61" i="6" s="1"/>
  <c r="I59" i="6"/>
  <c r="E82" i="6"/>
  <c r="K963" i="9"/>
  <c r="K965" i="9"/>
  <c r="R36" i="6"/>
  <c r="R37" i="6" s="1"/>
  <c r="O51" i="6"/>
  <c r="O52" i="6" s="1"/>
  <c r="D58" i="6"/>
  <c r="D61" i="6" s="1"/>
  <c r="J59" i="6"/>
  <c r="F82" i="6"/>
  <c r="J32" i="24"/>
  <c r="J42" i="24" s="1"/>
  <c r="J27" i="24"/>
  <c r="R32" i="24"/>
  <c r="R42" i="24" s="1"/>
  <c r="R43" i="24" s="1"/>
  <c r="R27" i="24"/>
  <c r="Z32" i="24"/>
  <c r="Z42" i="24" s="1"/>
  <c r="Z43" i="24" s="1"/>
  <c r="Z27" i="24"/>
  <c r="AF23" i="20"/>
  <c r="G82" i="6"/>
  <c r="K713" i="9"/>
  <c r="K32" i="24"/>
  <c r="K42" i="24" s="1"/>
  <c r="K27" i="24"/>
  <c r="S32" i="24"/>
  <c r="S42" i="24" s="1"/>
  <c r="S43" i="24" s="1"/>
  <c r="S27" i="24"/>
  <c r="I30" i="24"/>
  <c r="Q30" i="24"/>
  <c r="Y30" i="24"/>
  <c r="F58" i="6"/>
  <c r="F61" i="6" s="1"/>
  <c r="R89" i="6"/>
  <c r="L32" i="24"/>
  <c r="L42" i="24" s="1"/>
  <c r="L27" i="24"/>
  <c r="T32" i="24"/>
  <c r="T42" i="24" s="1"/>
  <c r="T43" i="24" s="1"/>
  <c r="T27" i="24"/>
  <c r="L31" i="13"/>
  <c r="G58" i="6"/>
  <c r="G61" i="6" s="1"/>
  <c r="M32" i="24"/>
  <c r="M42" i="24" s="1"/>
  <c r="M27" i="24"/>
  <c r="U32" i="24"/>
  <c r="U42" i="24" s="1"/>
  <c r="U43" i="24" s="1"/>
  <c r="U27" i="24"/>
  <c r="AG18" i="20"/>
  <c r="AH27" i="20"/>
  <c r="AF30" i="20"/>
  <c r="AG35" i="20"/>
  <c r="H58" i="6"/>
  <c r="F32" i="24"/>
  <c r="F42" i="24" s="1"/>
  <c r="F27" i="24"/>
  <c r="N32" i="24"/>
  <c r="N42" i="24" s="1"/>
  <c r="N27" i="24"/>
  <c r="V32" i="24"/>
  <c r="V42" i="24" s="1"/>
  <c r="V43" i="24" s="1"/>
  <c r="V27" i="24"/>
  <c r="B18" i="20"/>
  <c r="AH18" i="20"/>
  <c r="AF18" i="20"/>
  <c r="I58" i="6"/>
  <c r="G32" i="24"/>
  <c r="G42" i="24" s="1"/>
  <c r="G27" i="24"/>
  <c r="O32" i="24"/>
  <c r="O42" i="24" s="1"/>
  <c r="O27" i="24"/>
  <c r="W32" i="24"/>
  <c r="W42" i="24" s="1"/>
  <c r="W43" i="24" s="1"/>
  <c r="W27" i="24"/>
  <c r="U84" i="24"/>
  <c r="U76" i="24"/>
  <c r="J79" i="24"/>
  <c r="G18" i="24"/>
  <c r="O18" i="24"/>
  <c r="L39" i="24"/>
  <c r="T39" i="24"/>
  <c r="AB39" i="24"/>
  <c r="I46" i="24"/>
  <c r="Q46" i="24"/>
  <c r="Y46" i="24"/>
  <c r="U71" i="24"/>
  <c r="AB76" i="24"/>
  <c r="AJ73" i="24" s="1"/>
  <c r="H18" i="24"/>
  <c r="P18" i="24"/>
  <c r="M39" i="24"/>
  <c r="U39" i="24"/>
  <c r="J46" i="24"/>
  <c r="R46" i="24"/>
  <c r="Z46" i="24"/>
  <c r="V71" i="24"/>
  <c r="W76" i="24"/>
  <c r="W84" i="24"/>
  <c r="AA80" i="24"/>
  <c r="I18" i="24"/>
  <c r="Q18" i="24"/>
  <c r="F39" i="24"/>
  <c r="N39" i="24"/>
  <c r="V39" i="24"/>
  <c r="W71" i="24"/>
  <c r="G39" i="24"/>
  <c r="O39" i="24"/>
  <c r="W39" i="24"/>
  <c r="X71" i="24"/>
  <c r="Y84" i="24"/>
  <c r="Y76" i="24"/>
  <c r="AI5" i="24"/>
  <c r="Y71" i="24"/>
  <c r="AG68" i="24" s="1"/>
  <c r="Z76" i="24"/>
  <c r="AH73" i="24" s="1"/>
  <c r="V84" i="24"/>
  <c r="Z71" i="24"/>
  <c r="AH70" i="24" s="1"/>
  <c r="Y78" i="24"/>
  <c r="Z84" i="24"/>
  <c r="I27" i="24"/>
  <c r="Q27" i="24"/>
  <c r="Y27" i="24"/>
  <c r="AA71" i="24"/>
  <c r="AI68" i="24" s="1"/>
  <c r="P46" i="6"/>
  <c r="Q46" i="6"/>
  <c r="J46" i="6"/>
  <c r="R46" i="6"/>
  <c r="K46" i="6"/>
  <c r="S46" i="6"/>
  <c r="AA46" i="6"/>
  <c r="L46" i="6"/>
  <c r="T46" i="6"/>
  <c r="AB46" i="6"/>
  <c r="M46" i="6"/>
  <c r="U46" i="6"/>
  <c r="N46" i="6"/>
  <c r="V43" i="6"/>
  <c r="O46" i="6"/>
  <c r="Y24" i="24"/>
  <c r="Y23" i="24"/>
  <c r="Z22" i="24"/>
  <c r="Z25" i="24"/>
  <c r="Y22" i="24"/>
  <c r="L27" i="38"/>
  <c r="T27" i="38"/>
  <c r="C24" i="38"/>
  <c r="K24" i="38"/>
  <c r="S24" i="38"/>
  <c r="H28" i="38"/>
  <c r="P28" i="38"/>
  <c r="AA85" i="24"/>
  <c r="Y25" i="24"/>
  <c r="F25" i="38"/>
  <c r="N25" i="38"/>
  <c r="D27" i="38"/>
  <c r="AB85" i="24"/>
  <c r="AD85" i="24" s="1"/>
  <c r="AE85" i="24" s="1"/>
  <c r="Z23" i="24"/>
  <c r="Z24" i="24"/>
  <c r="AA124" i="24"/>
  <c r="AB124" i="24" s="1"/>
  <c r="AJ5" i="24"/>
  <c r="AA127" i="24"/>
  <c r="AB127" i="24" s="1"/>
  <c r="AJ9" i="24"/>
  <c r="I26" i="38"/>
  <c r="Q26" i="38"/>
  <c r="E27" i="38"/>
  <c r="F24" i="38"/>
  <c r="N24" i="38"/>
  <c r="D25" i="38"/>
  <c r="L25" i="38"/>
  <c r="E26" i="38"/>
  <c r="S27" i="38"/>
  <c r="M25" i="38"/>
  <c r="F27" i="38"/>
  <c r="J28" i="38"/>
  <c r="R28" i="38"/>
  <c r="G24" i="38"/>
  <c r="O24" i="38"/>
  <c r="E25" i="38"/>
  <c r="J26" i="38"/>
  <c r="F28" i="38"/>
  <c r="G27" i="38"/>
  <c r="O27" i="38"/>
  <c r="H24" i="38"/>
  <c r="P24" i="38"/>
  <c r="M26" i="38"/>
  <c r="I28" i="38"/>
  <c r="D28" i="38"/>
  <c r="I24" i="38"/>
  <c r="Q24" i="38"/>
  <c r="G25" i="38"/>
  <c r="O25" i="38"/>
  <c r="R26" i="38"/>
  <c r="N28" i="38"/>
  <c r="J24" i="38"/>
  <c r="S25" i="38"/>
  <c r="F26" i="38"/>
  <c r="I27" i="38"/>
  <c r="Q27" i="38"/>
  <c r="M28" i="38"/>
  <c r="R24" i="38"/>
  <c r="C27" i="38"/>
  <c r="Q28" i="38"/>
  <c r="K26" i="38"/>
  <c r="G26" i="38"/>
  <c r="O26" i="38"/>
  <c r="I25" i="38"/>
  <c r="Q25" i="38"/>
  <c r="H27" i="38"/>
  <c r="T28" i="38"/>
  <c r="G28" i="38"/>
  <c r="O28" i="38"/>
  <c r="D24" i="38"/>
  <c r="L24" i="38"/>
  <c r="T24" i="38"/>
  <c r="J25" i="38"/>
  <c r="R25" i="38"/>
  <c r="K27" i="38"/>
  <c r="Y69" i="35" l="1"/>
  <c r="E65" i="37"/>
  <c r="J849" i="9"/>
  <c r="B113" i="32" s="1"/>
  <c r="AL847" i="9"/>
  <c r="W669" i="9"/>
  <c r="W692" i="9" s="1"/>
  <c r="G153" i="26" s="1"/>
  <c r="V486" i="9"/>
  <c r="V498" i="9"/>
  <c r="V523" i="9" s="1"/>
  <c r="F119" i="26" s="1"/>
  <c r="V488" i="9"/>
  <c r="V513" i="9" s="1"/>
  <c r="F109" i="26" s="1"/>
  <c r="M95" i="9"/>
  <c r="V495" i="9"/>
  <c r="V520" i="9" s="1"/>
  <c r="F116" i="26" s="1"/>
  <c r="K2" i="37"/>
  <c r="V487" i="9"/>
  <c r="V512" i="9" s="1"/>
  <c r="F108" i="26" s="1"/>
  <c r="K415" i="9"/>
  <c r="R47" i="37"/>
  <c r="AK564" i="9"/>
  <c r="B132" i="34" s="1"/>
  <c r="V491" i="9"/>
  <c r="V516" i="9" s="1"/>
  <c r="F112" i="26" s="1"/>
  <c r="W665" i="9"/>
  <c r="W688" i="9" s="1"/>
  <c r="G149" i="26" s="1"/>
  <c r="V996" i="9"/>
  <c r="W667" i="9"/>
  <c r="V494" i="9"/>
  <c r="V519" i="9" s="1"/>
  <c r="F115" i="26" s="1"/>
  <c r="K595" i="9"/>
  <c r="L137" i="9"/>
  <c r="AK121" i="9"/>
  <c r="J33" i="34" s="1"/>
  <c r="K1053" i="9"/>
  <c r="AK818" i="9"/>
  <c r="B182" i="34" s="1"/>
  <c r="AL818" i="9"/>
  <c r="C182" i="34" s="1"/>
  <c r="AM649" i="9"/>
  <c r="D150" i="34" s="1"/>
  <c r="V497" i="9"/>
  <c r="V522" i="9" s="1"/>
  <c r="F118" i="26" s="1"/>
  <c r="K849" i="9"/>
  <c r="C113" i="32" s="1"/>
  <c r="V493" i="9"/>
  <c r="J593" i="9"/>
  <c r="V489" i="9"/>
  <c r="V514" i="9" s="1"/>
  <c r="F110" i="26" s="1"/>
  <c r="T914" i="9"/>
  <c r="T937" i="9" s="1"/>
  <c r="D194" i="26" s="1"/>
  <c r="P112" i="9"/>
  <c r="T919" i="9"/>
  <c r="M315" i="9"/>
  <c r="S91" i="6"/>
  <c r="Q69" i="35"/>
  <c r="AN374" i="9"/>
  <c r="E86" i="34" s="1"/>
  <c r="T913" i="9"/>
  <c r="T936" i="9" s="1"/>
  <c r="D193" i="26" s="1"/>
  <c r="O672" i="9"/>
  <c r="AP655" i="9" s="1"/>
  <c r="G156" i="34" s="1"/>
  <c r="M407" i="9"/>
  <c r="S84" i="6"/>
  <c r="S106" i="6" s="1"/>
  <c r="T922" i="9"/>
  <c r="T945" i="9" s="1"/>
  <c r="D202" i="26" s="1"/>
  <c r="AL312" i="9"/>
  <c r="K80" i="34" s="1"/>
  <c r="N24" i="37"/>
  <c r="P781" i="9"/>
  <c r="R84" i="6"/>
  <c r="I9" i="27" s="1"/>
  <c r="I7" i="27" s="1"/>
  <c r="N932" i="9"/>
  <c r="T921" i="9"/>
  <c r="T944" i="9" s="1"/>
  <c r="D201" i="26" s="1"/>
  <c r="T915" i="9"/>
  <c r="T938" i="9" s="1"/>
  <c r="D195" i="26" s="1"/>
  <c r="AK734" i="9"/>
  <c r="B166" i="34" s="1"/>
  <c r="R665" i="9"/>
  <c r="O370" i="9"/>
  <c r="AN289" i="9"/>
  <c r="E73" i="34" s="1"/>
  <c r="AQ648" i="9"/>
  <c r="H149" i="34" s="1"/>
  <c r="T917" i="9"/>
  <c r="T940" i="9" s="1"/>
  <c r="D197" i="26" s="1"/>
  <c r="T920" i="9"/>
  <c r="T943" i="9" s="1"/>
  <c r="D200" i="26" s="1"/>
  <c r="AN643" i="9"/>
  <c r="E144" i="34" s="1"/>
  <c r="W486" i="9"/>
  <c r="M409" i="9"/>
  <c r="D19" i="38"/>
  <c r="U667" i="9"/>
  <c r="M710" i="9" s="1"/>
  <c r="E104" i="33" s="1"/>
  <c r="R578" i="9"/>
  <c r="R601" i="9" s="1"/>
  <c r="B129" i="26" s="1"/>
  <c r="L593" i="9"/>
  <c r="M157" i="9"/>
  <c r="AN190" i="9"/>
  <c r="E46" i="34" s="1"/>
  <c r="AN282" i="9"/>
  <c r="E66" i="34" s="1"/>
  <c r="R585" i="9"/>
  <c r="R577" i="9"/>
  <c r="W586" i="9"/>
  <c r="W609" i="9" s="1"/>
  <c r="G137" i="26" s="1"/>
  <c r="P1046" i="9"/>
  <c r="P1053" i="9" s="1"/>
  <c r="K711" i="9"/>
  <c r="S711" i="9" s="1"/>
  <c r="W576" i="9"/>
  <c r="AO197" i="9"/>
  <c r="F53" i="34" s="1"/>
  <c r="AP404" i="9"/>
  <c r="O100" i="34" s="1"/>
  <c r="AP121" i="9"/>
  <c r="O33" i="34" s="1"/>
  <c r="N991" i="9"/>
  <c r="AK847" i="9"/>
  <c r="W584" i="9"/>
  <c r="W607" i="9" s="1"/>
  <c r="G135" i="26" s="1"/>
  <c r="N207" i="9"/>
  <c r="K157" i="9"/>
  <c r="K139" i="9"/>
  <c r="AK924" i="9"/>
  <c r="J204" i="34" s="1"/>
  <c r="AO841" i="9"/>
  <c r="N188" i="34" s="1"/>
  <c r="AM564" i="9"/>
  <c r="D132" i="34" s="1"/>
  <c r="AL128" i="9"/>
  <c r="K40" i="34" s="1"/>
  <c r="J27" i="37"/>
  <c r="R583" i="9"/>
  <c r="J47" i="37"/>
  <c r="M323" i="9"/>
  <c r="AP374" i="9"/>
  <c r="G86" i="34" s="1"/>
  <c r="K883" i="9"/>
  <c r="C130" i="33" s="1"/>
  <c r="V834" i="9"/>
  <c r="V857" i="9" s="1"/>
  <c r="F181" i="26" s="1"/>
  <c r="W664" i="9"/>
  <c r="W687" i="9" s="1"/>
  <c r="G148" i="26" s="1"/>
  <c r="R582" i="9"/>
  <c r="AM289" i="9"/>
  <c r="D73" i="34" s="1"/>
  <c r="M321" i="9"/>
  <c r="AQ106" i="9"/>
  <c r="H34" i="34" s="1"/>
  <c r="R579" i="9"/>
  <c r="R602" i="9" s="1"/>
  <c r="B130" i="26" s="1"/>
  <c r="R586" i="9"/>
  <c r="R609" i="9" s="1"/>
  <c r="B137" i="26" s="1"/>
  <c r="E47" i="37"/>
  <c r="U840" i="9"/>
  <c r="U863" i="9" s="1"/>
  <c r="E187" i="26" s="1"/>
  <c r="T487" i="9"/>
  <c r="T512" i="9" s="1"/>
  <c r="D108" i="26" s="1"/>
  <c r="T488" i="9"/>
  <c r="T513" i="9" s="1"/>
  <c r="D109" i="26" s="1"/>
  <c r="AA42" i="6"/>
  <c r="AA84" i="6" s="1"/>
  <c r="R9" i="27" s="1"/>
  <c r="R7" i="27" s="1"/>
  <c r="U831" i="9"/>
  <c r="U854" i="9" s="1"/>
  <c r="E178" i="26" s="1"/>
  <c r="O680" i="9"/>
  <c r="G95" i="32" s="1"/>
  <c r="T493" i="9"/>
  <c r="T518" i="9" s="1"/>
  <c r="D114" i="26" s="1"/>
  <c r="K131" i="9"/>
  <c r="AL112" i="9" s="1"/>
  <c r="C40" i="34" s="1"/>
  <c r="K966" i="9"/>
  <c r="C141" i="33" s="1"/>
  <c r="AP757" i="9"/>
  <c r="O172" i="34" s="1"/>
  <c r="T486" i="9"/>
  <c r="T498" i="9"/>
  <c r="T523" i="9" s="1"/>
  <c r="D119" i="26" s="1"/>
  <c r="J223" i="9"/>
  <c r="AK204" i="9" s="1"/>
  <c r="B60" i="34" s="1"/>
  <c r="K978" i="9"/>
  <c r="Q27" i="37"/>
  <c r="T497" i="9"/>
  <c r="T522" i="9" s="1"/>
  <c r="D118" i="26" s="1"/>
  <c r="K998" i="9"/>
  <c r="S998" i="9" s="1"/>
  <c r="S1021" i="9" s="1"/>
  <c r="K798" i="9"/>
  <c r="S798" i="9" s="1"/>
  <c r="U836" i="9"/>
  <c r="AP672" i="9"/>
  <c r="O156" i="34" s="1"/>
  <c r="T496" i="9"/>
  <c r="T521" i="9" s="1"/>
  <c r="D117" i="26" s="1"/>
  <c r="T491" i="9"/>
  <c r="T516" i="9" s="1"/>
  <c r="D112" i="26" s="1"/>
  <c r="O409" i="9"/>
  <c r="N223" i="9"/>
  <c r="N224" i="9" s="1"/>
  <c r="AK672" i="9"/>
  <c r="J156" i="34" s="1"/>
  <c r="K796" i="9"/>
  <c r="S796" i="9" s="1"/>
  <c r="AP728" i="9"/>
  <c r="G160" i="34" s="1"/>
  <c r="T495" i="9"/>
  <c r="T520" i="9" s="1"/>
  <c r="D116" i="26" s="1"/>
  <c r="U838" i="9"/>
  <c r="U861" i="9" s="1"/>
  <c r="E185" i="26" s="1"/>
  <c r="AP587" i="9"/>
  <c r="O138" i="34" s="1"/>
  <c r="AQ122" i="9"/>
  <c r="P34" i="34" s="1"/>
  <c r="AQ902" i="9"/>
  <c r="H199" i="34" s="1"/>
  <c r="AN895" i="9"/>
  <c r="E192" i="34" s="1"/>
  <c r="AL564" i="9"/>
  <c r="C132" i="34" s="1"/>
  <c r="J595" i="9"/>
  <c r="T490" i="9"/>
  <c r="T515" i="9" s="1"/>
  <c r="D111" i="26" s="1"/>
  <c r="U393" i="9"/>
  <c r="R584" i="9"/>
  <c r="R607" i="9" s="1"/>
  <c r="B135" i="26" s="1"/>
  <c r="W663" i="9"/>
  <c r="W686" i="9" s="1"/>
  <c r="G147" i="26" s="1"/>
  <c r="W662" i="9"/>
  <c r="W685" i="9" s="1"/>
  <c r="G146" i="26" s="1"/>
  <c r="U80" i="6"/>
  <c r="W491" i="9"/>
  <c r="W516" i="9" s="1"/>
  <c r="G112" i="26" s="1"/>
  <c r="V76" i="35"/>
  <c r="N499" i="9"/>
  <c r="W490" i="9"/>
  <c r="W515" i="9" s="1"/>
  <c r="G111" i="26" s="1"/>
  <c r="N225" i="9"/>
  <c r="W670" i="9"/>
  <c r="W693" i="9" s="1"/>
  <c r="G154" i="26" s="1"/>
  <c r="L11" i="27"/>
  <c r="M13" i="38" s="1"/>
  <c r="U89" i="6"/>
  <c r="L19" i="27" s="1"/>
  <c r="U92" i="6"/>
  <c r="T923" i="9"/>
  <c r="T946" i="9" s="1"/>
  <c r="D203" i="26" s="1"/>
  <c r="S918" i="9"/>
  <c r="W840" i="9"/>
  <c r="W863" i="9" s="1"/>
  <c r="G187" i="26" s="1"/>
  <c r="R834" i="9"/>
  <c r="R837" i="9"/>
  <c r="AM558" i="9"/>
  <c r="D126" i="34" s="1"/>
  <c r="AO473" i="9"/>
  <c r="F113" i="34" s="1"/>
  <c r="AO190" i="9"/>
  <c r="F46" i="34" s="1"/>
  <c r="R667" i="9"/>
  <c r="R690" i="9" s="1"/>
  <c r="B151" i="26" s="1"/>
  <c r="R662" i="9"/>
  <c r="R685" i="9" s="1"/>
  <c r="B146" i="26" s="1"/>
  <c r="W671" i="9"/>
  <c r="W694" i="9" s="1"/>
  <c r="G155" i="26" s="1"/>
  <c r="K962" i="9"/>
  <c r="S962" i="9" s="1"/>
  <c r="W488" i="9"/>
  <c r="W513" i="9" s="1"/>
  <c r="G109" i="26" s="1"/>
  <c r="N505" i="9"/>
  <c r="M995" i="9"/>
  <c r="AO728" i="9"/>
  <c r="F160" i="34" s="1"/>
  <c r="O413" i="9"/>
  <c r="R840" i="9"/>
  <c r="N507" i="9"/>
  <c r="N506" i="9" s="1"/>
  <c r="T668" i="9"/>
  <c r="T691" i="9" s="1"/>
  <c r="D152" i="26" s="1"/>
  <c r="W497" i="9"/>
  <c r="W522" i="9" s="1"/>
  <c r="G118" i="26" s="1"/>
  <c r="N483" i="9"/>
  <c r="Z80" i="6"/>
  <c r="R830" i="9"/>
  <c r="T663" i="9"/>
  <c r="T686" i="9" s="1"/>
  <c r="D147" i="26" s="1"/>
  <c r="W498" i="9"/>
  <c r="AM496" i="9"/>
  <c r="L120" i="34" s="1"/>
  <c r="AO466" i="9"/>
  <c r="F106" i="34" s="1"/>
  <c r="W661" i="9"/>
  <c r="W684" i="9" s="1"/>
  <c r="G145" i="26" s="1"/>
  <c r="K964" i="9"/>
  <c r="C139" i="33" s="1"/>
  <c r="T91" i="6"/>
  <c r="U112" i="6" s="1"/>
  <c r="Z92" i="6"/>
  <c r="P997" i="9"/>
  <c r="K924" i="9"/>
  <c r="R670" i="9"/>
  <c r="AQ644" i="9"/>
  <c r="H145" i="34" s="1"/>
  <c r="W487" i="9"/>
  <c r="W512" i="9" s="1"/>
  <c r="G108" i="26" s="1"/>
  <c r="V923" i="9"/>
  <c r="V946" i="9" s="1"/>
  <c r="F203" i="26" s="1"/>
  <c r="P279" i="9"/>
  <c r="U488" i="9"/>
  <c r="U513" i="9" s="1"/>
  <c r="E109" i="26" s="1"/>
  <c r="T120" i="6"/>
  <c r="V922" i="9"/>
  <c r="V945" i="9" s="1"/>
  <c r="F202" i="26" s="1"/>
  <c r="V921" i="9"/>
  <c r="V944" i="9" s="1"/>
  <c r="F201" i="26" s="1"/>
  <c r="R491" i="9"/>
  <c r="R516" i="9" s="1"/>
  <c r="B112" i="26" s="1"/>
  <c r="R496" i="9"/>
  <c r="U496" i="9"/>
  <c r="U521" i="9" s="1"/>
  <c r="E117" i="26" s="1"/>
  <c r="J139" i="9"/>
  <c r="J138" i="9" s="1"/>
  <c r="M1001" i="9"/>
  <c r="P1006" i="9"/>
  <c r="R216" i="9"/>
  <c r="AG157" i="9"/>
  <c r="X33" i="34" s="1"/>
  <c r="P989" i="9"/>
  <c r="V920" i="9"/>
  <c r="V943" i="9" s="1"/>
  <c r="F200" i="26" s="1"/>
  <c r="V916" i="9"/>
  <c r="V939" i="9" s="1"/>
  <c r="F196" i="26" s="1"/>
  <c r="AP763" i="9"/>
  <c r="AP734" i="9"/>
  <c r="G166" i="34" s="1"/>
  <c r="R494" i="9"/>
  <c r="R519" i="9" s="1"/>
  <c r="B115" i="26" s="1"/>
  <c r="R486" i="9"/>
  <c r="AL296" i="9"/>
  <c r="C80" i="34" s="1"/>
  <c r="U491" i="9"/>
  <c r="U516" i="9" s="1"/>
  <c r="E112" i="26" s="1"/>
  <c r="K206" i="9"/>
  <c r="AN128" i="9"/>
  <c r="M40" i="34" s="1"/>
  <c r="AC71" i="6"/>
  <c r="AC87" i="6"/>
  <c r="AC108" i="6" s="1"/>
  <c r="AC15" i="6"/>
  <c r="AC50" i="6"/>
  <c r="T3" i="27" s="1"/>
  <c r="V915" i="9"/>
  <c r="V938" i="9" s="1"/>
  <c r="F195" i="26" s="1"/>
  <c r="O765" i="9"/>
  <c r="G104" i="32" s="1"/>
  <c r="AQ751" i="9"/>
  <c r="P166" i="34" s="1"/>
  <c r="AL558" i="9"/>
  <c r="C126" i="34" s="1"/>
  <c r="R488" i="9"/>
  <c r="R485" i="9" s="1"/>
  <c r="U490" i="9"/>
  <c r="U515" i="9" s="1"/>
  <c r="E111" i="26" s="1"/>
  <c r="M797" i="9"/>
  <c r="U797" i="9" s="1"/>
  <c r="V914" i="9"/>
  <c r="V937" i="9" s="1"/>
  <c r="F194" i="26" s="1"/>
  <c r="R495" i="9"/>
  <c r="W495" i="9"/>
  <c r="U497" i="9"/>
  <c r="U522" i="9" s="1"/>
  <c r="E118" i="26" s="1"/>
  <c r="R493" i="9"/>
  <c r="R518" i="9" s="1"/>
  <c r="B114" i="26" s="1"/>
  <c r="U494" i="9"/>
  <c r="U519" i="9" s="1"/>
  <c r="E115" i="26" s="1"/>
  <c r="AB120" i="6"/>
  <c r="L140" i="9"/>
  <c r="M131" i="9"/>
  <c r="AN112" i="9" s="1"/>
  <c r="E40" i="34" s="1"/>
  <c r="AQ284" i="9"/>
  <c r="H68" i="34" s="1"/>
  <c r="V913" i="9"/>
  <c r="V917" i="9"/>
  <c r="V940" i="9" s="1"/>
  <c r="F197" i="26" s="1"/>
  <c r="U493" i="9"/>
  <c r="U518" i="9" s="1"/>
  <c r="E114" i="26" s="1"/>
  <c r="U489" i="9"/>
  <c r="U514" i="9" s="1"/>
  <c r="E110" i="26" s="1"/>
  <c r="AL213" i="9"/>
  <c r="K53" i="34" s="1"/>
  <c r="AN98" i="9"/>
  <c r="E26" i="34" s="1"/>
  <c r="N120" i="6"/>
  <c r="U669" i="9"/>
  <c r="W493" i="9"/>
  <c r="W518" i="9" s="1"/>
  <c r="G114" i="26" s="1"/>
  <c r="L415" i="9"/>
  <c r="D61" i="32" s="1"/>
  <c r="M133" i="9"/>
  <c r="Q120" i="6"/>
  <c r="N995" i="9"/>
  <c r="Z120" i="6"/>
  <c r="N89" i="6"/>
  <c r="E19" i="27" s="1"/>
  <c r="K11" i="27"/>
  <c r="L13" i="38" s="1"/>
  <c r="L75" i="38" s="1"/>
  <c r="N105" i="6"/>
  <c r="E18" i="27" s="1"/>
  <c r="P89" i="6"/>
  <c r="G19" i="27" s="1"/>
  <c r="N80" i="6"/>
  <c r="M121" i="6"/>
  <c r="AC121" i="6"/>
  <c r="V839" i="9"/>
  <c r="V862" i="9" s="1"/>
  <c r="F186" i="26" s="1"/>
  <c r="V833" i="9"/>
  <c r="V856" i="9" s="1"/>
  <c r="F180" i="26" s="1"/>
  <c r="V837" i="9"/>
  <c r="V860" i="9" s="1"/>
  <c r="F184" i="26" s="1"/>
  <c r="V836" i="9"/>
  <c r="V840" i="9"/>
  <c r="V863" i="9" s="1"/>
  <c r="F187" i="26" s="1"/>
  <c r="V831" i="9"/>
  <c r="V854" i="9" s="1"/>
  <c r="F178" i="26" s="1"/>
  <c r="V830" i="9"/>
  <c r="V838" i="9"/>
  <c r="V861" i="9" s="1"/>
  <c r="F185" i="26" s="1"/>
  <c r="V752" i="9"/>
  <c r="V775" i="9" s="1"/>
  <c r="F167" i="26" s="1"/>
  <c r="AQ123" i="9"/>
  <c r="P35" i="34" s="1"/>
  <c r="H18" i="31"/>
  <c r="E75" i="38"/>
  <c r="R2" i="37"/>
  <c r="Q24" i="37"/>
  <c r="R65" i="37"/>
  <c r="O65" i="37"/>
  <c r="W752" i="9"/>
  <c r="O795" i="9" s="1"/>
  <c r="G115" i="33" s="1"/>
  <c r="T833" i="9"/>
  <c r="T856" i="9" s="1"/>
  <c r="D180" i="26" s="1"/>
  <c r="AQ566" i="9"/>
  <c r="H134" i="34" s="1"/>
  <c r="R246" i="9"/>
  <c r="B58" i="26" s="1"/>
  <c r="O95" i="9"/>
  <c r="N131" i="9"/>
  <c r="AO112" i="9" s="1"/>
  <c r="F40" i="34" s="1"/>
  <c r="W583" i="9"/>
  <c r="W606" i="9" s="1"/>
  <c r="G134" i="26" s="1"/>
  <c r="U830" i="9"/>
  <c r="U853" i="9" s="1"/>
  <c r="E177" i="26" s="1"/>
  <c r="U834" i="9"/>
  <c r="U857" i="9" s="1"/>
  <c r="E181" i="26" s="1"/>
  <c r="S829" i="9"/>
  <c r="W582" i="9"/>
  <c r="N413" i="9"/>
  <c r="AK197" i="9"/>
  <c r="B53" i="34" s="1"/>
  <c r="O157" i="9"/>
  <c r="S209" i="9"/>
  <c r="N133" i="9"/>
  <c r="W577" i="9"/>
  <c r="W600" i="9" s="1"/>
  <c r="G128" i="26" s="1"/>
  <c r="W753" i="9"/>
  <c r="W776" i="9" s="1"/>
  <c r="G168" i="26" s="1"/>
  <c r="U839" i="9"/>
  <c r="U862" i="9" s="1"/>
  <c r="E186" i="26" s="1"/>
  <c r="U833" i="9"/>
  <c r="U856" i="9" s="1"/>
  <c r="E180" i="26" s="1"/>
  <c r="W754" i="9"/>
  <c r="X313" i="9"/>
  <c r="X338" i="9" s="1"/>
  <c r="H78" i="26" s="1"/>
  <c r="O139" i="9"/>
  <c r="G25" i="32" s="1"/>
  <c r="W580" i="9"/>
  <c r="W603" i="9" s="1"/>
  <c r="G131" i="26" s="1"/>
  <c r="AO587" i="9"/>
  <c r="N138" i="34" s="1"/>
  <c r="U998" i="9"/>
  <c r="U1021" i="9" s="1"/>
  <c r="W755" i="9"/>
  <c r="W778" i="9" s="1"/>
  <c r="G170" i="26" s="1"/>
  <c r="W746" i="9"/>
  <c r="W769" i="9" s="1"/>
  <c r="G161" i="26" s="1"/>
  <c r="T837" i="9"/>
  <c r="T860" i="9" s="1"/>
  <c r="D184" i="26" s="1"/>
  <c r="AM282" i="9"/>
  <c r="D66" i="34" s="1"/>
  <c r="AQ111" i="9"/>
  <c r="H39" i="34" s="1"/>
  <c r="AM312" i="9"/>
  <c r="L80" i="34" s="1"/>
  <c r="W585" i="9"/>
  <c r="W608" i="9" s="1"/>
  <c r="G136" i="26" s="1"/>
  <c r="L324" i="9"/>
  <c r="P740" i="9"/>
  <c r="O741" i="9" s="1"/>
  <c r="AM841" i="9"/>
  <c r="L188" i="34" s="1"/>
  <c r="T834" i="9"/>
  <c r="T857" i="9" s="1"/>
  <c r="D181" i="26" s="1"/>
  <c r="X406" i="9"/>
  <c r="X431" i="9" s="1"/>
  <c r="H99" i="26" s="1"/>
  <c r="T832" i="9"/>
  <c r="T855" i="9" s="1"/>
  <c r="D179" i="26" s="1"/>
  <c r="O315" i="9"/>
  <c r="L315" i="9"/>
  <c r="AM296" i="9" s="1"/>
  <c r="D80" i="34" s="1"/>
  <c r="M223" i="9"/>
  <c r="M224" i="9" s="1"/>
  <c r="W578" i="9"/>
  <c r="W601" i="9" s="1"/>
  <c r="G129" i="26" s="1"/>
  <c r="U997" i="9"/>
  <c r="U1020" i="9" s="1"/>
  <c r="W748" i="9"/>
  <c r="W771" i="9" s="1"/>
  <c r="G163" i="26" s="1"/>
  <c r="T838" i="9"/>
  <c r="T861" i="9" s="1"/>
  <c r="D185" i="26" s="1"/>
  <c r="W756" i="9"/>
  <c r="K587" i="9"/>
  <c r="K588" i="9" s="1"/>
  <c r="L317" i="9"/>
  <c r="K187" i="9"/>
  <c r="K231" i="9"/>
  <c r="C37" i="32" s="1"/>
  <c r="AO98" i="9"/>
  <c r="F26" i="34" s="1"/>
  <c r="M225" i="9"/>
  <c r="X403" i="9"/>
  <c r="X428" i="9" s="1"/>
  <c r="H96" i="26" s="1"/>
  <c r="C19" i="38"/>
  <c r="O89" i="6"/>
  <c r="S19" i="38"/>
  <c r="S1005" i="9"/>
  <c r="S1028" i="9" s="1"/>
  <c r="P1005" i="9"/>
  <c r="AM128" i="9"/>
  <c r="L40" i="34" s="1"/>
  <c r="L94" i="6"/>
  <c r="P19" i="38"/>
  <c r="P988" i="9"/>
  <c r="P984" i="9" s="1"/>
  <c r="R922" i="9"/>
  <c r="R945" i="9" s="1"/>
  <c r="B202" i="26" s="1"/>
  <c r="U752" i="9"/>
  <c r="U775" i="9" s="1"/>
  <c r="E167" i="26" s="1"/>
  <c r="R921" i="9"/>
  <c r="J964" i="9" s="1"/>
  <c r="B139" i="33" s="1"/>
  <c r="R668" i="9"/>
  <c r="R669" i="9"/>
  <c r="J712" i="9" s="1"/>
  <c r="AN734" i="9"/>
  <c r="E166" i="34" s="1"/>
  <c r="T665" i="9"/>
  <c r="T688" i="9" s="1"/>
  <c r="D149" i="26" s="1"/>
  <c r="T669" i="9"/>
  <c r="T692" i="9" s="1"/>
  <c r="D153" i="26" s="1"/>
  <c r="AL289" i="9"/>
  <c r="C73" i="34" s="1"/>
  <c r="S393" i="9"/>
  <c r="S418" i="9" s="1"/>
  <c r="C86" i="26" s="1"/>
  <c r="AL404" i="9"/>
  <c r="K100" i="34" s="1"/>
  <c r="U400" i="9"/>
  <c r="AP213" i="9"/>
  <c r="O53" i="34" s="1"/>
  <c r="K114" i="9"/>
  <c r="T216" i="9"/>
  <c r="K229" i="9"/>
  <c r="W209" i="9"/>
  <c r="K121" i="6"/>
  <c r="J11" i="27"/>
  <c r="K13" i="38" s="1"/>
  <c r="T664" i="9"/>
  <c r="T687" i="9" s="1"/>
  <c r="D148" i="26" s="1"/>
  <c r="N229" i="9"/>
  <c r="R917" i="9"/>
  <c r="R940" i="9" s="1"/>
  <c r="B197" i="26" s="1"/>
  <c r="AG249" i="9"/>
  <c r="X53" i="34" s="1"/>
  <c r="W121" i="6"/>
  <c r="K795" i="9"/>
  <c r="S795" i="9" s="1"/>
  <c r="S92" i="6"/>
  <c r="T113" i="6" s="1"/>
  <c r="R913" i="9"/>
  <c r="W831" i="9"/>
  <c r="W854" i="9" s="1"/>
  <c r="G178" i="26" s="1"/>
  <c r="V664" i="9"/>
  <c r="V687" i="9" s="1"/>
  <c r="F148" i="26" s="1"/>
  <c r="T662" i="9"/>
  <c r="T685" i="9" s="1"/>
  <c r="D146" i="26" s="1"/>
  <c r="V671" i="9"/>
  <c r="V694" i="9" s="1"/>
  <c r="F155" i="26" s="1"/>
  <c r="J315" i="9"/>
  <c r="B80" i="28" s="1"/>
  <c r="W301" i="9"/>
  <c r="W326" i="9" s="1"/>
  <c r="G66" i="26" s="1"/>
  <c r="AK282" i="9"/>
  <c r="B66" i="34" s="1"/>
  <c r="K299" i="9"/>
  <c r="R209" i="9"/>
  <c r="R234" i="9" s="1"/>
  <c r="B46" i="26" s="1"/>
  <c r="R117" i="9"/>
  <c r="R142" i="9" s="1"/>
  <c r="B26" i="26" s="1"/>
  <c r="U124" i="9"/>
  <c r="O186" i="9"/>
  <c r="AA121" i="6"/>
  <c r="U747" i="9"/>
  <c r="U770" i="9" s="1"/>
  <c r="E162" i="26" s="1"/>
  <c r="K984" i="9"/>
  <c r="L121" i="6"/>
  <c r="O2" i="37"/>
  <c r="AQ931" i="9"/>
  <c r="R919" i="9"/>
  <c r="J962" i="9" s="1"/>
  <c r="W838" i="9"/>
  <c r="V667" i="9"/>
  <c r="V690" i="9" s="1"/>
  <c r="F151" i="26" s="1"/>
  <c r="V663" i="9"/>
  <c r="V686" i="9" s="1"/>
  <c r="F147" i="26" s="1"/>
  <c r="T670" i="9"/>
  <c r="T693" i="9" s="1"/>
  <c r="D154" i="26" s="1"/>
  <c r="AO564" i="9"/>
  <c r="F132" i="34" s="1"/>
  <c r="R661" i="9"/>
  <c r="AL496" i="9"/>
  <c r="K120" i="34" s="1"/>
  <c r="O80" i="6"/>
  <c r="L278" i="9"/>
  <c r="AB121" i="6"/>
  <c r="X127" i="9"/>
  <c r="X152" i="9" s="1"/>
  <c r="H36" i="26" s="1"/>
  <c r="W124" i="9"/>
  <c r="W149" i="9" s="1"/>
  <c r="G33" i="26" s="1"/>
  <c r="X121" i="6"/>
  <c r="Q121" i="6"/>
  <c r="Z121" i="6"/>
  <c r="V998" i="9"/>
  <c r="V1021" i="9" s="1"/>
  <c r="AQ195" i="9"/>
  <c r="H51" i="34" s="1"/>
  <c r="AQ384" i="9"/>
  <c r="H96" i="34" s="1"/>
  <c r="P1004" i="9"/>
  <c r="O24" i="37"/>
  <c r="W837" i="9"/>
  <c r="W860" i="9" s="1"/>
  <c r="G184" i="26" s="1"/>
  <c r="M765" i="9"/>
  <c r="E104" i="32" s="1"/>
  <c r="R923" i="9"/>
  <c r="J966" i="9" s="1"/>
  <c r="W832" i="9"/>
  <c r="W855" i="9" s="1"/>
  <c r="G179" i="26" s="1"/>
  <c r="U749" i="9"/>
  <c r="U772" i="9" s="1"/>
  <c r="E164" i="26" s="1"/>
  <c r="AQ475" i="9"/>
  <c r="H115" i="34" s="1"/>
  <c r="T661" i="9"/>
  <c r="T684" i="9" s="1"/>
  <c r="D145" i="26" s="1"/>
  <c r="V662" i="9"/>
  <c r="V685" i="9" s="1"/>
  <c r="F146" i="26" s="1"/>
  <c r="K323" i="9"/>
  <c r="C49" i="32" s="1"/>
  <c r="K409" i="9"/>
  <c r="J317" i="9"/>
  <c r="AM98" i="9"/>
  <c r="D26" i="34" s="1"/>
  <c r="O407" i="9"/>
  <c r="AP388" i="9" s="1"/>
  <c r="G100" i="34" s="1"/>
  <c r="R121" i="6"/>
  <c r="S80" i="6"/>
  <c r="T80" i="6"/>
  <c r="R664" i="9"/>
  <c r="R687" i="9" s="1"/>
  <c r="B148" i="26" s="1"/>
  <c r="G47" i="37"/>
  <c r="R915" i="9"/>
  <c r="R914" i="9"/>
  <c r="R937" i="9" s="1"/>
  <c r="B194" i="26" s="1"/>
  <c r="AQ814" i="9"/>
  <c r="H178" i="34" s="1"/>
  <c r="M796" i="9"/>
  <c r="U796" i="9" s="1"/>
  <c r="G27" i="37"/>
  <c r="S912" i="9"/>
  <c r="S935" i="9" s="1"/>
  <c r="C192" i="26" s="1"/>
  <c r="AQ816" i="9"/>
  <c r="H180" i="34" s="1"/>
  <c r="L808" i="9"/>
  <c r="J499" i="9"/>
  <c r="J500" i="9" s="1"/>
  <c r="T667" i="9"/>
  <c r="T690" i="9" s="1"/>
  <c r="D151" i="26" s="1"/>
  <c r="V665" i="9"/>
  <c r="V688" i="9" s="1"/>
  <c r="F149" i="26" s="1"/>
  <c r="AO289" i="9"/>
  <c r="F73" i="34" s="1"/>
  <c r="AM466" i="9"/>
  <c r="D106" i="34" s="1"/>
  <c r="R308" i="9"/>
  <c r="Y121" i="6"/>
  <c r="AL374" i="9"/>
  <c r="C86" i="34" s="1"/>
  <c r="U121" i="6"/>
  <c r="T121" i="6"/>
  <c r="X91" i="6"/>
  <c r="O14" i="27" s="1"/>
  <c r="T89" i="6"/>
  <c r="K19" i="27" s="1"/>
  <c r="R663" i="9"/>
  <c r="R686" i="9" s="1"/>
  <c r="B147" i="26" s="1"/>
  <c r="AO678" i="9"/>
  <c r="W749" i="9"/>
  <c r="W772" i="9" s="1"/>
  <c r="G164" i="26" s="1"/>
  <c r="L105" i="6"/>
  <c r="C18" i="27" s="1"/>
  <c r="AM812" i="9"/>
  <c r="D176" i="34" s="1"/>
  <c r="M798" i="9"/>
  <c r="U798" i="9" s="1"/>
  <c r="T84" i="6"/>
  <c r="T105" i="6" s="1"/>
  <c r="K18" i="27" s="1"/>
  <c r="AN763" i="9"/>
  <c r="U750" i="9"/>
  <c r="U773" i="9" s="1"/>
  <c r="E165" i="26" s="1"/>
  <c r="U756" i="9"/>
  <c r="U779" i="9" s="1"/>
  <c r="E171" i="26" s="1"/>
  <c r="U746" i="9"/>
  <c r="P725" i="9"/>
  <c r="U748" i="9"/>
  <c r="U771" i="9" s="1"/>
  <c r="E163" i="26" s="1"/>
  <c r="P660" i="9"/>
  <c r="AQ643" i="9" s="1"/>
  <c r="H144" i="34" s="1"/>
  <c r="V661" i="9"/>
  <c r="L499" i="9"/>
  <c r="D120" i="28" s="1"/>
  <c r="AP381" i="9"/>
  <c r="G93" i="34" s="1"/>
  <c r="O121" i="6"/>
  <c r="K407" i="9"/>
  <c r="AL388" i="9" s="1"/>
  <c r="C100" i="34" s="1"/>
  <c r="V121" i="6"/>
  <c r="R393" i="9"/>
  <c r="R418" i="9" s="1"/>
  <c r="B86" i="26" s="1"/>
  <c r="AL197" i="9"/>
  <c r="C53" i="34" s="1"/>
  <c r="S89" i="6"/>
  <c r="J19" i="27" s="1"/>
  <c r="AK643" i="9"/>
  <c r="B144" i="34" s="1"/>
  <c r="X80" i="6"/>
  <c r="AQ468" i="9"/>
  <c r="H108" i="34" s="1"/>
  <c r="M317" i="9"/>
  <c r="E66" i="28"/>
  <c r="U665" i="9"/>
  <c r="U688" i="9" s="1"/>
  <c r="E149" i="26" s="1"/>
  <c r="S492" i="9"/>
  <c r="M415" i="9"/>
  <c r="E61" i="32" s="1"/>
  <c r="AO213" i="9"/>
  <c r="N53" i="34" s="1"/>
  <c r="N1001" i="9"/>
  <c r="AQ477" i="9"/>
  <c r="H117" i="34" s="1"/>
  <c r="O796" i="9"/>
  <c r="W796" i="9" s="1"/>
  <c r="AQ835" i="9"/>
  <c r="P182" i="34" s="1"/>
  <c r="W839" i="9"/>
  <c r="W830" i="9"/>
  <c r="J765" i="9"/>
  <c r="B104" i="32" s="1"/>
  <c r="W836" i="9"/>
  <c r="O879" i="9" s="1"/>
  <c r="G126" i="33" s="1"/>
  <c r="W834" i="9"/>
  <c r="W857" i="9" s="1"/>
  <c r="G181" i="26" s="1"/>
  <c r="U668" i="9"/>
  <c r="U691" i="9" s="1"/>
  <c r="E152" i="26" s="1"/>
  <c r="U661" i="9"/>
  <c r="U684" i="9" s="1"/>
  <c r="E145" i="26" s="1"/>
  <c r="V670" i="9"/>
  <c r="V693" i="9" s="1"/>
  <c r="F154" i="26" s="1"/>
  <c r="U670" i="9"/>
  <c r="W308" i="9"/>
  <c r="W333" i="9" s="1"/>
  <c r="G73" i="26" s="1"/>
  <c r="AP312" i="9"/>
  <c r="O80" i="34" s="1"/>
  <c r="AM121" i="9"/>
  <c r="L33" i="34" s="1"/>
  <c r="N186" i="9"/>
  <c r="W216" i="9"/>
  <c r="W241" i="9" s="1"/>
  <c r="G53" i="26" s="1"/>
  <c r="AQ379" i="9"/>
  <c r="H91" i="34" s="1"/>
  <c r="AO220" i="9"/>
  <c r="N60" i="34" s="1"/>
  <c r="K712" i="9"/>
  <c r="S712" i="9" s="1"/>
  <c r="U663" i="9"/>
  <c r="U686" i="9" s="1"/>
  <c r="E147" i="26" s="1"/>
  <c r="O317" i="9"/>
  <c r="AQ813" i="9"/>
  <c r="H177" i="34" s="1"/>
  <c r="AK901" i="9"/>
  <c r="B198" i="34" s="1"/>
  <c r="AQ194" i="9"/>
  <c r="H50" i="34" s="1"/>
  <c r="K321" i="9"/>
  <c r="C73" i="28"/>
  <c r="T1005" i="9"/>
  <c r="T1028" i="9" s="1"/>
  <c r="AQ382" i="9"/>
  <c r="H94" i="34" s="1"/>
  <c r="K390" i="9"/>
  <c r="U301" i="9"/>
  <c r="U326" i="9" s="1"/>
  <c r="E66" i="26" s="1"/>
  <c r="X122" i="9"/>
  <c r="X147" i="9" s="1"/>
  <c r="H31" i="26" s="1"/>
  <c r="W916" i="9"/>
  <c r="W939" i="9" s="1"/>
  <c r="G196" i="26" s="1"/>
  <c r="O415" i="9"/>
  <c r="G93" i="28"/>
  <c r="Y40" i="24"/>
  <c r="F49" i="32"/>
  <c r="N322" i="9"/>
  <c r="F9" i="27"/>
  <c r="O106" i="6"/>
  <c r="F13" i="27" s="1"/>
  <c r="O85" i="6"/>
  <c r="F6" i="27" s="1"/>
  <c r="G14" i="38" s="1"/>
  <c r="G74" i="38" s="1"/>
  <c r="O105" i="6"/>
  <c r="L964" i="9"/>
  <c r="T964" i="9" s="1"/>
  <c r="AQ729" i="9"/>
  <c r="H161" i="34" s="1"/>
  <c r="L587" i="9"/>
  <c r="D138" i="28" s="1"/>
  <c r="X309" i="9"/>
  <c r="X334" i="9" s="1"/>
  <c r="H74" i="26" s="1"/>
  <c r="K593" i="9"/>
  <c r="V1003" i="9"/>
  <c r="V1026" i="9" s="1"/>
  <c r="P204" i="9"/>
  <c r="K133" i="9"/>
  <c r="AL98" i="9"/>
  <c r="C26" i="34" s="1"/>
  <c r="C26" i="28"/>
  <c r="AP282" i="9"/>
  <c r="G66" i="34" s="1"/>
  <c r="AQ193" i="9"/>
  <c r="H49" i="34" s="1"/>
  <c r="L883" i="9"/>
  <c r="T883" i="9" s="1"/>
  <c r="AK895" i="9"/>
  <c r="B192" i="34" s="1"/>
  <c r="AQ767" i="9"/>
  <c r="O322" i="9"/>
  <c r="O231" i="9"/>
  <c r="G37" i="32" s="1"/>
  <c r="V1000" i="9"/>
  <c r="V1023" i="9" s="1"/>
  <c r="N92" i="6"/>
  <c r="E10" i="27"/>
  <c r="O94" i="6"/>
  <c r="L882" i="9"/>
  <c r="T882" i="9" s="1"/>
  <c r="P640" i="9"/>
  <c r="AK763" i="9"/>
  <c r="L680" i="9"/>
  <c r="D95" i="32" s="1"/>
  <c r="V669" i="9"/>
  <c r="V692" i="9" s="1"/>
  <c r="F153" i="26" s="1"/>
  <c r="P216" i="9"/>
  <c r="P250" i="9" s="1"/>
  <c r="AQ191" i="9"/>
  <c r="H47" i="34" s="1"/>
  <c r="S124" i="9"/>
  <c r="AQ568" i="9"/>
  <c r="H136" i="34" s="1"/>
  <c r="AQ563" i="9"/>
  <c r="H131" i="34" s="1"/>
  <c r="K317" i="9"/>
  <c r="C66" i="28"/>
  <c r="Q65" i="37"/>
  <c r="N113" i="6"/>
  <c r="AM678" i="9"/>
  <c r="R746" i="9"/>
  <c r="R769" i="9" s="1"/>
  <c r="B161" i="26" s="1"/>
  <c r="AM643" i="9"/>
  <c r="D144" i="34" s="1"/>
  <c r="AQ199" i="9"/>
  <c r="H55" i="34" s="1"/>
  <c r="AQ285" i="9"/>
  <c r="H69" i="34" s="1"/>
  <c r="AQ125" i="9"/>
  <c r="P37" i="34" s="1"/>
  <c r="AQ666" i="9"/>
  <c r="P150" i="34" s="1"/>
  <c r="T585" i="9"/>
  <c r="AQ383" i="9"/>
  <c r="H95" i="34" s="1"/>
  <c r="L187" i="9"/>
  <c r="P666" i="9"/>
  <c r="AQ649" i="9" s="1"/>
  <c r="H150" i="34" s="1"/>
  <c r="E18" i="32"/>
  <c r="AQ898" i="9"/>
  <c r="H195" i="34" s="1"/>
  <c r="L672" i="9"/>
  <c r="N757" i="9"/>
  <c r="AO740" i="9" s="1"/>
  <c r="F172" i="34" s="1"/>
  <c r="AQ730" i="9"/>
  <c r="H162" i="34" s="1"/>
  <c r="AO381" i="9"/>
  <c r="F93" i="34" s="1"/>
  <c r="N391" i="9"/>
  <c r="F93" i="28"/>
  <c r="J89" i="6"/>
  <c r="M63" i="6"/>
  <c r="M66" i="6" s="1"/>
  <c r="M880" i="9"/>
  <c r="U880" i="9" s="1"/>
  <c r="M879" i="9"/>
  <c r="W519" i="9"/>
  <c r="G115" i="26" s="1"/>
  <c r="AP930" i="9"/>
  <c r="AP901" i="9"/>
  <c r="G198" i="34" s="1"/>
  <c r="G198" i="28"/>
  <c r="AQ103" i="9"/>
  <c r="H31" i="34" s="1"/>
  <c r="H31" i="28"/>
  <c r="O710" i="9"/>
  <c r="G104" i="33" s="1"/>
  <c r="U913" i="9"/>
  <c r="U936" i="9" s="1"/>
  <c r="E193" i="26" s="1"/>
  <c r="M587" i="9"/>
  <c r="E126" i="28"/>
  <c r="M680" i="9"/>
  <c r="E95" i="32" s="1"/>
  <c r="E150" i="28"/>
  <c r="W919" i="9"/>
  <c r="W942" i="9" s="1"/>
  <c r="G199" i="26" s="1"/>
  <c r="AK381" i="9"/>
  <c r="B93" i="34" s="1"/>
  <c r="J710" i="9"/>
  <c r="R710" i="9" s="1"/>
  <c r="I27" i="37"/>
  <c r="P65" i="37"/>
  <c r="V1002" i="9"/>
  <c r="V1025" i="9" s="1"/>
  <c r="U919" i="9"/>
  <c r="U942" i="9" s="1"/>
  <c r="E199" i="26" s="1"/>
  <c r="U1003" i="9"/>
  <c r="U1026" i="9" s="1"/>
  <c r="U996" i="9"/>
  <c r="U1019" i="9" s="1"/>
  <c r="AN812" i="9"/>
  <c r="E176" i="34" s="1"/>
  <c r="J841" i="9"/>
  <c r="B188" i="28" s="1"/>
  <c r="V749" i="9"/>
  <c r="V772" i="9" s="1"/>
  <c r="F164" i="26" s="1"/>
  <c r="V754" i="9"/>
  <c r="V777" i="9" s="1"/>
  <c r="F169" i="26" s="1"/>
  <c r="AQ469" i="9"/>
  <c r="H109" i="34" s="1"/>
  <c r="R400" i="9"/>
  <c r="T400" i="9"/>
  <c r="S400" i="9"/>
  <c r="T124" i="9"/>
  <c r="O133" i="9"/>
  <c r="AQ561" i="9"/>
  <c r="H129" i="34" s="1"/>
  <c r="O187" i="9"/>
  <c r="G30" i="32"/>
  <c r="U920" i="9"/>
  <c r="U943" i="9" s="1"/>
  <c r="E200" i="26" s="1"/>
  <c r="K413" i="9"/>
  <c r="C93" i="28"/>
  <c r="U915" i="9"/>
  <c r="U938" i="9" s="1"/>
  <c r="E195" i="26" s="1"/>
  <c r="V1006" i="9"/>
  <c r="V1029" i="9" s="1"/>
  <c r="W750" i="9"/>
  <c r="W773" i="9" s="1"/>
  <c r="G165" i="26" s="1"/>
  <c r="O499" i="9"/>
  <c r="AP480" i="9" s="1"/>
  <c r="G120" i="34" s="1"/>
  <c r="G106" i="28"/>
  <c r="K95" i="9"/>
  <c r="C18" i="32"/>
  <c r="K137" i="9"/>
  <c r="K115" i="9"/>
  <c r="C33" i="28"/>
  <c r="M139" i="9"/>
  <c r="E33" i="28"/>
  <c r="O593" i="9"/>
  <c r="G132" i="28"/>
  <c r="AP847" i="9"/>
  <c r="G182" i="28"/>
  <c r="AK678" i="9"/>
  <c r="B150" i="28"/>
  <c r="K797" i="9"/>
  <c r="S797" i="9" s="1"/>
  <c r="O932" i="9"/>
  <c r="AP818" i="9"/>
  <c r="G182" i="34" s="1"/>
  <c r="U914" i="9"/>
  <c r="U937" i="9" s="1"/>
  <c r="E194" i="26" s="1"/>
  <c r="O131" i="9"/>
  <c r="O132" i="9" s="1"/>
  <c r="L963" i="9"/>
  <c r="T963" i="9" s="1"/>
  <c r="J714" i="9"/>
  <c r="R714" i="9" s="1"/>
  <c r="K961" i="9"/>
  <c r="C136" i="33" s="1"/>
  <c r="M882" i="9"/>
  <c r="U882" i="9" s="1"/>
  <c r="L110" i="6"/>
  <c r="AA62" i="35"/>
  <c r="AA69" i="35" s="1"/>
  <c r="W22" i="35"/>
  <c r="P2" i="37"/>
  <c r="U923" i="9"/>
  <c r="U946" i="9" s="1"/>
  <c r="E203" i="26" s="1"/>
  <c r="U922" i="9"/>
  <c r="U945" i="9" s="1"/>
  <c r="E202" i="26" s="1"/>
  <c r="AL901" i="9"/>
  <c r="C198" i="34" s="1"/>
  <c r="AQ820" i="9"/>
  <c r="H184" i="34" s="1"/>
  <c r="AL734" i="9"/>
  <c r="C166" i="34" s="1"/>
  <c r="V750" i="9"/>
  <c r="V773" i="9" s="1"/>
  <c r="F165" i="26" s="1"/>
  <c r="S751" i="9"/>
  <c r="V746" i="9"/>
  <c r="V769" i="9" s="1"/>
  <c r="F161" i="26" s="1"/>
  <c r="AQ489" i="9"/>
  <c r="P113" i="34" s="1"/>
  <c r="T580" i="9"/>
  <c r="T603" i="9" s="1"/>
  <c r="D131" i="26" s="1"/>
  <c r="AN558" i="9"/>
  <c r="E126" i="34" s="1"/>
  <c r="P581" i="9"/>
  <c r="P590" i="9" s="1"/>
  <c r="U585" i="9"/>
  <c r="J413" i="9"/>
  <c r="J415" i="9"/>
  <c r="J414" i="9" s="1"/>
  <c r="P370" i="9"/>
  <c r="L249" i="9"/>
  <c r="T117" i="9"/>
  <c r="T142" i="9" s="1"/>
  <c r="D26" i="26" s="1"/>
  <c r="O8" i="27"/>
  <c r="W923" i="9"/>
  <c r="W946" i="9" s="1"/>
  <c r="G203" i="26" s="1"/>
  <c r="AL895" i="9"/>
  <c r="C192" i="34" s="1"/>
  <c r="AQ731" i="9"/>
  <c r="H163" i="34" s="1"/>
  <c r="AQ478" i="9"/>
  <c r="H118" i="34" s="1"/>
  <c r="N587" i="9"/>
  <c r="F126" i="28"/>
  <c r="W917" i="9"/>
  <c r="W940" i="9" s="1"/>
  <c r="G197" i="26" s="1"/>
  <c r="N321" i="9"/>
  <c r="N299" i="9"/>
  <c r="F73" i="28"/>
  <c r="L757" i="9"/>
  <c r="D160" i="28"/>
  <c r="J229" i="9"/>
  <c r="B53" i="28"/>
  <c r="N593" i="9"/>
  <c r="F132" i="28"/>
  <c r="AO374" i="9"/>
  <c r="F86" i="34" s="1"/>
  <c r="J95" i="9"/>
  <c r="B18" i="32"/>
  <c r="M229" i="9"/>
  <c r="E53" i="28"/>
  <c r="N137" i="9"/>
  <c r="N115" i="9"/>
  <c r="F33" i="28"/>
  <c r="AL728" i="9"/>
  <c r="C160" i="34" s="1"/>
  <c r="C160" i="28"/>
  <c r="L765" i="9"/>
  <c r="D104" i="32" s="1"/>
  <c r="D166" i="28"/>
  <c r="AQ102" i="9"/>
  <c r="H30" i="34" s="1"/>
  <c r="H30" i="28"/>
  <c r="U1004" i="9"/>
  <c r="U1027" i="9" s="1"/>
  <c r="X214" i="9"/>
  <c r="X239" i="9" s="1"/>
  <c r="H51" i="26" s="1"/>
  <c r="AN847" i="9"/>
  <c r="AN818" i="9"/>
  <c r="E182" i="34" s="1"/>
  <c r="E182" i="28"/>
  <c r="L965" i="9"/>
  <c r="T965" i="9" s="1"/>
  <c r="J713" i="9"/>
  <c r="I47" i="37"/>
  <c r="P978" i="9"/>
  <c r="U916" i="9"/>
  <c r="U939" i="9" s="1"/>
  <c r="E196" i="26" s="1"/>
  <c r="AM734" i="9"/>
  <c r="D166" i="34" s="1"/>
  <c r="O595" i="9"/>
  <c r="V748" i="9"/>
  <c r="V771" i="9" s="1"/>
  <c r="F163" i="26" s="1"/>
  <c r="P463" i="9"/>
  <c r="N407" i="9"/>
  <c r="N408" i="9" s="1"/>
  <c r="U209" i="9"/>
  <c r="U234" i="9" s="1"/>
  <c r="E46" i="26" s="1"/>
  <c r="T393" i="9"/>
  <c r="T418" i="9" s="1"/>
  <c r="D86" i="26" s="1"/>
  <c r="N672" i="9"/>
  <c r="AO655" i="9" s="1"/>
  <c r="F156" i="34" s="1"/>
  <c r="F144" i="28"/>
  <c r="AQ683" i="9"/>
  <c r="H155" i="28"/>
  <c r="M672" i="9"/>
  <c r="AN655" i="9" s="1"/>
  <c r="E156" i="34" s="1"/>
  <c r="V999" i="9"/>
  <c r="V1022" i="9" s="1"/>
  <c r="H78" i="31"/>
  <c r="W42" i="6"/>
  <c r="W84" i="6" s="1"/>
  <c r="N9" i="27" s="1"/>
  <c r="O924" i="9"/>
  <c r="G192" i="28"/>
  <c r="L505" i="9"/>
  <c r="D113" i="28"/>
  <c r="AL466" i="9"/>
  <c r="C106" i="34" s="1"/>
  <c r="AQ218" i="9"/>
  <c r="P58" i="34" s="1"/>
  <c r="O225" i="9"/>
  <c r="AP190" i="9"/>
  <c r="G46" i="34" s="1"/>
  <c r="G46" i="28"/>
  <c r="AK649" i="9"/>
  <c r="B150" i="34" s="1"/>
  <c r="S581" i="9"/>
  <c r="AL757" i="9"/>
  <c r="K172" i="34" s="1"/>
  <c r="V755" i="9"/>
  <c r="V778" i="9" s="1"/>
  <c r="F170" i="26" s="1"/>
  <c r="AQ305" i="9"/>
  <c r="P73" i="34" s="1"/>
  <c r="J323" i="9"/>
  <c r="AK473" i="9"/>
  <c r="B113" i="34" s="1"/>
  <c r="N409" i="9"/>
  <c r="AM213" i="9"/>
  <c r="L53" i="34" s="1"/>
  <c r="AQ679" i="9"/>
  <c r="H151" i="28"/>
  <c r="W489" i="9"/>
  <c r="W514" i="9" s="1"/>
  <c r="G110" i="26" s="1"/>
  <c r="O757" i="9"/>
  <c r="G160" i="28"/>
  <c r="AP678" i="9"/>
  <c r="G150" i="28"/>
  <c r="AQ471" i="9"/>
  <c r="H111" i="34" s="1"/>
  <c r="H111" i="28"/>
  <c r="AQ198" i="9"/>
  <c r="H54" i="34" s="1"/>
  <c r="H54" i="28"/>
  <c r="N924" i="9"/>
  <c r="AO907" i="9" s="1"/>
  <c r="F204" i="34" s="1"/>
  <c r="F192" i="28"/>
  <c r="AK812" i="9"/>
  <c r="B176" i="34" s="1"/>
  <c r="AO558" i="9"/>
  <c r="F126" i="34" s="1"/>
  <c r="L95" i="9"/>
  <c r="D18" i="32"/>
  <c r="O483" i="9"/>
  <c r="AP473" i="9"/>
  <c r="G113" i="34" s="1"/>
  <c r="G113" i="28"/>
  <c r="AK190" i="9"/>
  <c r="B46" i="34" s="1"/>
  <c r="B46" i="28"/>
  <c r="AQ215" i="9"/>
  <c r="P55" i="34" s="1"/>
  <c r="W920" i="9"/>
  <c r="W943" i="9" s="1"/>
  <c r="G200" i="26" s="1"/>
  <c r="W915" i="9"/>
  <c r="W938" i="9" s="1"/>
  <c r="G195" i="26" s="1"/>
  <c r="W914" i="9"/>
  <c r="W937" i="9" s="1"/>
  <c r="G194" i="26" s="1"/>
  <c r="M714" i="9"/>
  <c r="E108" i="33" s="1"/>
  <c r="O849" i="9"/>
  <c r="G113" i="32" s="1"/>
  <c r="V756" i="9"/>
  <c r="V779" i="9" s="1"/>
  <c r="F171" i="26" s="1"/>
  <c r="K714" i="9"/>
  <c r="S714" i="9" s="1"/>
  <c r="M47" i="37"/>
  <c r="R22" i="35"/>
  <c r="M65" i="37"/>
  <c r="U921" i="9"/>
  <c r="U944" i="9" s="1"/>
  <c r="E201" i="26" s="1"/>
  <c r="U999" i="9"/>
  <c r="U1022" i="9" s="1"/>
  <c r="P1003" i="9"/>
  <c r="AO812" i="9"/>
  <c r="F176" i="34" s="1"/>
  <c r="AQ897" i="9"/>
  <c r="H194" i="34" s="1"/>
  <c r="AN678" i="9"/>
  <c r="R754" i="9"/>
  <c r="J797" i="9" s="1"/>
  <c r="J507" i="9"/>
  <c r="V747" i="9"/>
  <c r="V770" i="9" s="1"/>
  <c r="F162" i="26" s="1"/>
  <c r="AQ562" i="9"/>
  <c r="H130" i="34" s="1"/>
  <c r="AN587" i="9"/>
  <c r="M138" i="34" s="1"/>
  <c r="W393" i="9"/>
  <c r="W418" i="9" s="1"/>
  <c r="G86" i="26" s="1"/>
  <c r="S301" i="9"/>
  <c r="S326" i="9" s="1"/>
  <c r="C66" i="26" s="1"/>
  <c r="AQ293" i="9"/>
  <c r="H77" i="34" s="1"/>
  <c r="J505" i="9"/>
  <c r="AQ377" i="9"/>
  <c r="H89" i="34" s="1"/>
  <c r="O223" i="9"/>
  <c r="AP204" i="9" s="1"/>
  <c r="G60" i="34" s="1"/>
  <c r="X217" i="9"/>
  <c r="X242" i="9" s="1"/>
  <c r="H54" i="26" s="1"/>
  <c r="AP98" i="9"/>
  <c r="G26" i="34" s="1"/>
  <c r="AP220" i="9"/>
  <c r="O60" i="34" s="1"/>
  <c r="W496" i="9"/>
  <c r="V1005" i="9"/>
  <c r="V1028" i="9" s="1"/>
  <c r="V997" i="9"/>
  <c r="V1020" i="9" s="1"/>
  <c r="H66" i="31"/>
  <c r="X42" i="6"/>
  <c r="X84" i="6" s="1"/>
  <c r="P525" i="9" s="1"/>
  <c r="AM763" i="9"/>
  <c r="O321" i="9"/>
  <c r="O299" i="9"/>
  <c r="G73" i="28"/>
  <c r="O137" i="9"/>
  <c r="AP105" i="9"/>
  <c r="G33" i="34" s="1"/>
  <c r="O115" i="9"/>
  <c r="G33" i="28"/>
  <c r="J680" i="9"/>
  <c r="B95" i="32" s="1"/>
  <c r="P485" i="9"/>
  <c r="AQ466" i="9" s="1"/>
  <c r="H106" i="34" s="1"/>
  <c r="B106" i="28"/>
  <c r="AQ214" i="9"/>
  <c r="P54" i="34" s="1"/>
  <c r="AQ900" i="9"/>
  <c r="H197" i="34" s="1"/>
  <c r="L139" i="9"/>
  <c r="D33" i="28"/>
  <c r="AN105" i="9"/>
  <c r="E33" i="34" s="1"/>
  <c r="O229" i="9"/>
  <c r="O207" i="9"/>
  <c r="G53" i="28"/>
  <c r="W913" i="9"/>
  <c r="N414" i="9"/>
  <c r="F61" i="32"/>
  <c r="M881" i="9"/>
  <c r="U881" i="9" s="1"/>
  <c r="P157" i="9"/>
  <c r="U1000" i="9"/>
  <c r="U1023" i="9" s="1"/>
  <c r="AN649" i="9"/>
  <c r="E150" i="34" s="1"/>
  <c r="J672" i="9"/>
  <c r="AK655" i="9" s="1"/>
  <c r="B156" i="34" s="1"/>
  <c r="AQ817" i="9"/>
  <c r="H181" i="34" s="1"/>
  <c r="P809" i="9"/>
  <c r="S575" i="9"/>
  <c r="S598" i="9" s="1"/>
  <c r="C126" i="26" s="1"/>
  <c r="P278" i="9"/>
  <c r="W400" i="9"/>
  <c r="AP197" i="9"/>
  <c r="G53" i="34" s="1"/>
  <c r="L322" i="9"/>
  <c r="X405" i="9"/>
  <c r="X430" i="9" s="1"/>
  <c r="H98" i="26" s="1"/>
  <c r="K249" i="9"/>
  <c r="AB42" i="6"/>
  <c r="AB84" i="6" s="1"/>
  <c r="W922" i="9"/>
  <c r="W945" i="9" s="1"/>
  <c r="G202" i="26" s="1"/>
  <c r="V1004" i="9"/>
  <c r="V1027" i="9" s="1"/>
  <c r="AO930" i="9"/>
  <c r="F198" i="28"/>
  <c r="L413" i="9"/>
  <c r="D93" i="28"/>
  <c r="AQ654" i="9"/>
  <c r="H155" i="34" s="1"/>
  <c r="AQ476" i="9"/>
  <c r="H116" i="34" s="1"/>
  <c r="Z42" i="6"/>
  <c r="Z84" i="6" s="1"/>
  <c r="H42" i="31"/>
  <c r="S308" i="9"/>
  <c r="Q89" i="6"/>
  <c r="H19" i="27" s="1"/>
  <c r="U22" i="35"/>
  <c r="I89" i="6"/>
  <c r="W91" i="6"/>
  <c r="W112" i="6" s="1"/>
  <c r="M22" i="35"/>
  <c r="W113" i="6"/>
  <c r="Y91" i="6"/>
  <c r="P80" i="6"/>
  <c r="K94" i="6"/>
  <c r="Q94" i="6"/>
  <c r="U93" i="6"/>
  <c r="N19" i="38"/>
  <c r="F19" i="38"/>
  <c r="U105" i="6"/>
  <c r="G11" i="27"/>
  <c r="H13" i="38" s="1"/>
  <c r="N94" i="6"/>
  <c r="I84" i="6"/>
  <c r="I85" i="6" s="1"/>
  <c r="I88" i="6" s="1"/>
  <c r="P84" i="6"/>
  <c r="P93" i="6" s="1"/>
  <c r="W73" i="35"/>
  <c r="N76" i="35"/>
  <c r="I80" i="6"/>
  <c r="U106" i="6"/>
  <c r="P249" i="9"/>
  <c r="G8" i="27"/>
  <c r="U94" i="6"/>
  <c r="J84" i="6"/>
  <c r="J85" i="6" s="1"/>
  <c r="J88" i="6" s="1"/>
  <c r="AA85" i="6"/>
  <c r="R6" i="27" s="1"/>
  <c r="S14" i="38" s="1"/>
  <c r="S46" i="38" s="1"/>
  <c r="S22" i="35"/>
  <c r="Y80" i="6"/>
  <c r="Q11" i="27"/>
  <c r="J80" i="6"/>
  <c r="AA106" i="6"/>
  <c r="R13" i="27" s="1"/>
  <c r="J19" i="38"/>
  <c r="K22" i="35"/>
  <c r="AA93" i="6"/>
  <c r="Q91" i="6"/>
  <c r="H11" i="27"/>
  <c r="I13" i="38" s="1"/>
  <c r="H8" i="27"/>
  <c r="H7" i="27" s="1"/>
  <c r="Q80" i="6"/>
  <c r="S94" i="6"/>
  <c r="U45" i="37"/>
  <c r="Q92" i="6"/>
  <c r="H16" i="27" s="1"/>
  <c r="W34" i="4" s="1"/>
  <c r="O91" i="6"/>
  <c r="O112" i="6" s="1"/>
  <c r="F8" i="27"/>
  <c r="F11" i="27"/>
  <c r="G13" i="38" s="1"/>
  <c r="E22" i="35"/>
  <c r="P22" i="35"/>
  <c r="N8" i="27"/>
  <c r="N11" i="27"/>
  <c r="O13" i="38" s="1"/>
  <c r="V22" i="35"/>
  <c r="Q105" i="6"/>
  <c r="H18" i="27" s="1"/>
  <c r="N22" i="35"/>
  <c r="K880" i="9"/>
  <c r="S880" i="9" s="1"/>
  <c r="V582" i="9"/>
  <c r="V605" i="9" s="1"/>
  <c r="F133" i="26" s="1"/>
  <c r="V584" i="9"/>
  <c r="V607" i="9" s="1"/>
  <c r="F135" i="26" s="1"/>
  <c r="V586" i="9"/>
  <c r="V609" i="9" s="1"/>
  <c r="F137" i="26" s="1"/>
  <c r="V400" i="9"/>
  <c r="V425" i="9" s="1"/>
  <c r="F93" i="26" s="1"/>
  <c r="X399" i="9"/>
  <c r="X424" i="9" s="1"/>
  <c r="H92" i="26" s="1"/>
  <c r="X398" i="9"/>
  <c r="X423" i="9" s="1"/>
  <c r="H91" i="26" s="1"/>
  <c r="X397" i="9"/>
  <c r="X422" i="9" s="1"/>
  <c r="H90" i="26" s="1"/>
  <c r="X396" i="9"/>
  <c r="X421" i="9" s="1"/>
  <c r="H89" i="26" s="1"/>
  <c r="X404" i="9"/>
  <c r="X429" i="9" s="1"/>
  <c r="H97" i="26" s="1"/>
  <c r="X402" i="9"/>
  <c r="X427" i="9" s="1"/>
  <c r="H95" i="26" s="1"/>
  <c r="X401" i="9"/>
  <c r="X426" i="9" s="1"/>
  <c r="H94" i="26" s="1"/>
  <c r="X305" i="9"/>
  <c r="X330" i="9" s="1"/>
  <c r="H70" i="26" s="1"/>
  <c r="V308" i="9"/>
  <c r="V333" i="9" s="1"/>
  <c r="F73" i="26" s="1"/>
  <c r="X306" i="9"/>
  <c r="X331" i="9" s="1"/>
  <c r="H71" i="26" s="1"/>
  <c r="X310" i="9"/>
  <c r="X335" i="9" s="1"/>
  <c r="H75" i="26" s="1"/>
  <c r="X312" i="9"/>
  <c r="X337" i="9" s="1"/>
  <c r="H77" i="26" s="1"/>
  <c r="X307" i="9"/>
  <c r="X332" i="9" s="1"/>
  <c r="H72" i="26" s="1"/>
  <c r="X304" i="9"/>
  <c r="X329" i="9" s="1"/>
  <c r="H69" i="26" s="1"/>
  <c r="X311" i="9"/>
  <c r="X336" i="9" s="1"/>
  <c r="H76" i="26" s="1"/>
  <c r="V301" i="9"/>
  <c r="V326" i="9" s="1"/>
  <c r="F66" i="26" s="1"/>
  <c r="X314" i="9"/>
  <c r="X339" i="9" s="1"/>
  <c r="H79" i="26" s="1"/>
  <c r="X222" i="9"/>
  <c r="X247" i="9" s="1"/>
  <c r="H59" i="26" s="1"/>
  <c r="X221" i="9"/>
  <c r="X246" i="9" s="1"/>
  <c r="H58" i="26" s="1"/>
  <c r="X215" i="9"/>
  <c r="X240" i="9" s="1"/>
  <c r="H52" i="26" s="1"/>
  <c r="X218" i="9"/>
  <c r="X243" i="9" s="1"/>
  <c r="H55" i="26" s="1"/>
  <c r="X212" i="9"/>
  <c r="X237" i="9" s="1"/>
  <c r="H49" i="26" s="1"/>
  <c r="V216" i="9"/>
  <c r="V241" i="9" s="1"/>
  <c r="F53" i="26" s="1"/>
  <c r="X220" i="9"/>
  <c r="X245" i="9" s="1"/>
  <c r="H57" i="26" s="1"/>
  <c r="X120" i="9"/>
  <c r="X145" i="9" s="1"/>
  <c r="H29" i="26" s="1"/>
  <c r="X126" i="9"/>
  <c r="X151" i="9" s="1"/>
  <c r="H35" i="26" s="1"/>
  <c r="V117" i="9"/>
  <c r="V142" i="9" s="1"/>
  <c r="F26" i="26" s="1"/>
  <c r="X129" i="9"/>
  <c r="X154" i="9" s="1"/>
  <c r="H38" i="26" s="1"/>
  <c r="X119" i="9"/>
  <c r="X144" i="9" s="1"/>
  <c r="H28" i="26" s="1"/>
  <c r="X128" i="9"/>
  <c r="X153" i="9" s="1"/>
  <c r="H37" i="26" s="1"/>
  <c r="V124" i="9"/>
  <c r="V149" i="9" s="1"/>
  <c r="F33" i="26" s="1"/>
  <c r="X123" i="9"/>
  <c r="X148" i="9" s="1"/>
  <c r="H32" i="26" s="1"/>
  <c r="X118" i="9"/>
  <c r="X143" i="9" s="1"/>
  <c r="H27" i="26" s="1"/>
  <c r="H84" i="6"/>
  <c r="H90" i="6" s="1"/>
  <c r="J880" i="9"/>
  <c r="J879" i="9"/>
  <c r="B126" i="33" s="1"/>
  <c r="J883" i="9"/>
  <c r="B130" i="33" s="1"/>
  <c r="J882" i="9"/>
  <c r="B129" i="33" s="1"/>
  <c r="H80" i="6"/>
  <c r="J881" i="9"/>
  <c r="B128" i="33" s="1"/>
  <c r="O964" i="9"/>
  <c r="G139" i="33" s="1"/>
  <c r="H91" i="6"/>
  <c r="P40" i="24"/>
  <c r="B14" i="20"/>
  <c r="T606" i="9"/>
  <c r="D134" i="26" s="1"/>
  <c r="B25" i="32"/>
  <c r="R771" i="9"/>
  <c r="B163" i="26" s="1"/>
  <c r="AQ850" i="9"/>
  <c r="H185" i="28"/>
  <c r="K841" i="9"/>
  <c r="C176" i="28"/>
  <c r="M94" i="6"/>
  <c r="K879" i="9"/>
  <c r="S879" i="9" s="1"/>
  <c r="H61" i="6"/>
  <c r="L966" i="9"/>
  <c r="T966" i="9" s="1"/>
  <c r="M105" i="6"/>
  <c r="F65" i="37"/>
  <c r="F27" i="37"/>
  <c r="AQ906" i="9"/>
  <c r="H203" i="34" s="1"/>
  <c r="H203" i="28"/>
  <c r="M24" i="37"/>
  <c r="AN924" i="9"/>
  <c r="M204" i="34" s="1"/>
  <c r="AL924" i="9"/>
  <c r="K204" i="34" s="1"/>
  <c r="AL907" i="9"/>
  <c r="C204" i="34" s="1"/>
  <c r="U1002" i="9"/>
  <c r="V942" i="9"/>
  <c r="F199" i="26" s="1"/>
  <c r="O841" i="9"/>
  <c r="AP824" i="9" s="1"/>
  <c r="G188" i="34" s="1"/>
  <c r="G176" i="28"/>
  <c r="AN930" i="9"/>
  <c r="T1003" i="9"/>
  <c r="T1026" i="9" s="1"/>
  <c r="AQ899" i="9"/>
  <c r="H196" i="34" s="1"/>
  <c r="AQ821" i="9"/>
  <c r="H185" i="34" s="1"/>
  <c r="AO757" i="9"/>
  <c r="N172" i="34" s="1"/>
  <c r="N724" i="9"/>
  <c r="AL841" i="9"/>
  <c r="K188" i="34" s="1"/>
  <c r="AO672" i="9"/>
  <c r="N156" i="34" s="1"/>
  <c r="AN672" i="9"/>
  <c r="M156" i="34" s="1"/>
  <c r="R861" i="9"/>
  <c r="B185" i="26" s="1"/>
  <c r="R750" i="9"/>
  <c r="AQ474" i="9"/>
  <c r="H114" i="34" s="1"/>
  <c r="R514" i="9"/>
  <c r="B110" i="26" s="1"/>
  <c r="AQ733" i="9"/>
  <c r="H165" i="34" s="1"/>
  <c r="W599" i="9"/>
  <c r="G127" i="26" s="1"/>
  <c r="X303" i="9"/>
  <c r="X328" i="9" s="1"/>
  <c r="H68" i="26" s="1"/>
  <c r="AN388" i="9"/>
  <c r="E100" i="34" s="1"/>
  <c r="AN404" i="9"/>
  <c r="M100" i="34" s="1"/>
  <c r="M370" i="9"/>
  <c r="V393" i="9"/>
  <c r="V419" i="9"/>
  <c r="F87" i="26" s="1"/>
  <c r="R327" i="9"/>
  <c r="B67" i="26" s="1"/>
  <c r="R301" i="9"/>
  <c r="X302" i="9"/>
  <c r="X327" i="9" s="1"/>
  <c r="H67" i="26" s="1"/>
  <c r="AQ467" i="9"/>
  <c r="H107" i="34" s="1"/>
  <c r="AK404" i="9"/>
  <c r="J100" i="34" s="1"/>
  <c r="J370" i="9"/>
  <c r="AO312" i="9"/>
  <c r="N80" i="34" s="1"/>
  <c r="N278" i="9"/>
  <c r="AQ200" i="9"/>
  <c r="H56" i="34" s="1"/>
  <c r="H56" i="28"/>
  <c r="T301" i="9"/>
  <c r="AQ378" i="9"/>
  <c r="H90" i="34" s="1"/>
  <c r="AQ283" i="9"/>
  <c r="H67" i="34" s="1"/>
  <c r="L229" i="9"/>
  <c r="AM197" i="9"/>
  <c r="D53" i="34" s="1"/>
  <c r="D53" i="28"/>
  <c r="AQ202" i="9"/>
  <c r="H58" i="34" s="1"/>
  <c r="H58" i="28"/>
  <c r="T235" i="9"/>
  <c r="D47" i="26" s="1"/>
  <c r="T209" i="9"/>
  <c r="R155" i="9"/>
  <c r="B39" i="26" s="1"/>
  <c r="X130" i="9"/>
  <c r="X155" i="9" s="1"/>
  <c r="H39" i="26" s="1"/>
  <c r="S117" i="9"/>
  <c r="O230" i="9"/>
  <c r="J249" i="9"/>
  <c r="AK220" i="9"/>
  <c r="J60" i="34" s="1"/>
  <c r="K207" i="9"/>
  <c r="W117" i="9"/>
  <c r="X219" i="9"/>
  <c r="X244" i="9" s="1"/>
  <c r="H56" i="26" s="1"/>
  <c r="V209" i="9"/>
  <c r="M132" i="9"/>
  <c r="E40" i="28"/>
  <c r="U751" i="9"/>
  <c r="AO818" i="9"/>
  <c r="F182" i="34" s="1"/>
  <c r="AO847" i="9"/>
  <c r="F182" i="28"/>
  <c r="P835" i="9"/>
  <c r="P849" i="9" s="1"/>
  <c r="H113" i="32" s="1"/>
  <c r="K765" i="9"/>
  <c r="C104" i="32" s="1"/>
  <c r="C166" i="28"/>
  <c r="V859" i="9"/>
  <c r="F183" i="26" s="1"/>
  <c r="K757" i="9"/>
  <c r="R608" i="9"/>
  <c r="B136" i="26" s="1"/>
  <c r="AL587" i="9"/>
  <c r="K138" i="34" s="1"/>
  <c r="V485" i="9"/>
  <c r="V511" i="9"/>
  <c r="F107" i="26" s="1"/>
  <c r="W605" i="9"/>
  <c r="G133" i="26" s="1"/>
  <c r="AP496" i="9"/>
  <c r="O120" i="34" s="1"/>
  <c r="O462" i="9"/>
  <c r="O482" i="9"/>
  <c r="R522" i="9"/>
  <c r="B118" i="26" s="1"/>
  <c r="P371" i="9"/>
  <c r="Y42" i="6"/>
  <c r="Y84" i="6" s="1"/>
  <c r="H54" i="31"/>
  <c r="L407" i="9"/>
  <c r="AM388" i="9" s="1"/>
  <c r="D100" i="34" s="1"/>
  <c r="L409" i="9"/>
  <c r="D86" i="28"/>
  <c r="L594" i="9"/>
  <c r="D84" i="32"/>
  <c r="K414" i="9"/>
  <c r="C61" i="32"/>
  <c r="N315" i="9"/>
  <c r="N317" i="9"/>
  <c r="F66" i="28"/>
  <c r="U511" i="9"/>
  <c r="E107" i="26" s="1"/>
  <c r="AO282" i="9"/>
  <c r="F66" i="34" s="1"/>
  <c r="R359" i="9"/>
  <c r="B77" i="26"/>
  <c r="AK312" i="9"/>
  <c r="J80" i="34" s="1"/>
  <c r="J278" i="9"/>
  <c r="M408" i="9"/>
  <c r="E100" i="28"/>
  <c r="R223" i="9"/>
  <c r="X125" i="9"/>
  <c r="X150" i="9" s="1"/>
  <c r="H34" i="26" s="1"/>
  <c r="R124" i="9"/>
  <c r="R150" i="9"/>
  <c r="B34" i="26" s="1"/>
  <c r="J131" i="9"/>
  <c r="P117" i="9"/>
  <c r="J133" i="9"/>
  <c r="B26" i="28"/>
  <c r="P11" i="27"/>
  <c r="Q13" i="38" s="1"/>
  <c r="P10" i="27"/>
  <c r="T241" i="9"/>
  <c r="D53" i="26" s="1"/>
  <c r="X211" i="9"/>
  <c r="X236" i="9" s="1"/>
  <c r="H48" i="26" s="1"/>
  <c r="K995" i="9"/>
  <c r="S996" i="9"/>
  <c r="P996" i="9"/>
  <c r="R997" i="9"/>
  <c r="R1002" i="9"/>
  <c r="R1003" i="9"/>
  <c r="R996" i="9"/>
  <c r="AQ933" i="9"/>
  <c r="H201" i="28"/>
  <c r="H107" i="32"/>
  <c r="T996" i="9"/>
  <c r="T998" i="9"/>
  <c r="T1021" i="9" s="1"/>
  <c r="P824" i="9"/>
  <c r="AQ932" i="9"/>
  <c r="AQ764" i="9"/>
  <c r="H167" i="28"/>
  <c r="R936" i="9"/>
  <c r="B193" i="26" s="1"/>
  <c r="AP841" i="9"/>
  <c r="O188" i="34" s="1"/>
  <c r="O808" i="9"/>
  <c r="AQ849" i="9"/>
  <c r="T748" i="9"/>
  <c r="T771" i="9" s="1"/>
  <c r="D163" i="26" s="1"/>
  <c r="S690" i="9"/>
  <c r="C151" i="26" s="1"/>
  <c r="S666" i="9"/>
  <c r="P655" i="9"/>
  <c r="O594" i="9"/>
  <c r="G84" i="32"/>
  <c r="N594" i="9"/>
  <c r="F84" i="32"/>
  <c r="L506" i="9"/>
  <c r="D73" i="32"/>
  <c r="P480" i="9"/>
  <c r="AQ732" i="9"/>
  <c r="H164" i="34" s="1"/>
  <c r="V492" i="9"/>
  <c r="V517" i="9" s="1"/>
  <c r="F113" i="26" s="1"/>
  <c r="V518" i="9"/>
  <c r="F114" i="26" s="1"/>
  <c r="L588" i="9"/>
  <c r="H42" i="32"/>
  <c r="R523" i="9"/>
  <c r="B119" i="26" s="1"/>
  <c r="M316" i="9"/>
  <c r="E80" i="28"/>
  <c r="AN312" i="9"/>
  <c r="M80" i="34" s="1"/>
  <c r="M278" i="9"/>
  <c r="AN296" i="9"/>
  <c r="E80" i="34" s="1"/>
  <c r="M231" i="9"/>
  <c r="E37" i="32" s="1"/>
  <c r="M187" i="9"/>
  <c r="E30" i="32"/>
  <c r="AQ376" i="9"/>
  <c r="H88" i="34" s="1"/>
  <c r="K223" i="9"/>
  <c r="K225" i="9"/>
  <c r="C46" i="28"/>
  <c r="AQ126" i="9"/>
  <c r="P38" i="34" s="1"/>
  <c r="AQ386" i="9"/>
  <c r="H98" i="34" s="1"/>
  <c r="U242" i="9"/>
  <c r="E54" i="26" s="1"/>
  <c r="U216" i="9"/>
  <c r="AQ124" i="9"/>
  <c r="P36" i="34" s="1"/>
  <c r="AB80" i="6"/>
  <c r="S11" i="27"/>
  <c r="S8" i="27"/>
  <c r="Q14" i="27"/>
  <c r="X121" i="9"/>
  <c r="X146" i="9" s="1"/>
  <c r="H30" i="26" s="1"/>
  <c r="AQ127" i="9"/>
  <c r="P39" i="34" s="1"/>
  <c r="AQ918" i="9"/>
  <c r="P198" i="34" s="1"/>
  <c r="R939" i="9"/>
  <c r="B196" i="26" s="1"/>
  <c r="O798" i="9"/>
  <c r="W798" i="9" s="1"/>
  <c r="AI62" i="35"/>
  <c r="T69" i="35"/>
  <c r="AQ934" i="9"/>
  <c r="H202" i="28"/>
  <c r="AQ905" i="9"/>
  <c r="H202" i="34" s="1"/>
  <c r="R1006" i="9"/>
  <c r="M991" i="9"/>
  <c r="R1000" i="9"/>
  <c r="R862" i="9"/>
  <c r="B186" i="26" s="1"/>
  <c r="K925" i="9"/>
  <c r="C204" i="28"/>
  <c r="AQ852" i="9"/>
  <c r="H187" i="28"/>
  <c r="R855" i="9"/>
  <c r="B179" i="26" s="1"/>
  <c r="P907" i="9"/>
  <c r="M908" i="9" s="1"/>
  <c r="R853" i="9"/>
  <c r="B177" i="26" s="1"/>
  <c r="AQ680" i="9"/>
  <c r="H152" i="28"/>
  <c r="R755" i="9"/>
  <c r="R756" i="9"/>
  <c r="R747" i="9"/>
  <c r="R753" i="9"/>
  <c r="R752" i="9"/>
  <c r="P751" i="9"/>
  <c r="AQ681" i="9"/>
  <c r="H153" i="28"/>
  <c r="S769" i="9"/>
  <c r="C161" i="26" s="1"/>
  <c r="S745" i="9"/>
  <c r="O673" i="9"/>
  <c r="G156" i="28"/>
  <c r="R605" i="9"/>
  <c r="B133" i="26" s="1"/>
  <c r="K505" i="9"/>
  <c r="AL473" i="9"/>
  <c r="C113" i="34" s="1"/>
  <c r="K507" i="9"/>
  <c r="K483" i="9"/>
  <c r="C113" i="28"/>
  <c r="AQ569" i="9"/>
  <c r="H137" i="34" s="1"/>
  <c r="K499" i="9"/>
  <c r="R512" i="9"/>
  <c r="B108" i="26" s="1"/>
  <c r="X487" i="9"/>
  <c r="X512" i="9" s="1"/>
  <c r="H108" i="26" s="1"/>
  <c r="AM404" i="9"/>
  <c r="L100" i="34" s="1"/>
  <c r="L370" i="9"/>
  <c r="P388" i="9"/>
  <c r="T308" i="9"/>
  <c r="T334" i="9"/>
  <c r="D74" i="26" s="1"/>
  <c r="AQ291" i="9"/>
  <c r="H75" i="34" s="1"/>
  <c r="K408" i="9"/>
  <c r="C100" i="28"/>
  <c r="AK105" i="9"/>
  <c r="B33" i="34" s="1"/>
  <c r="P124" i="9"/>
  <c r="J137" i="9"/>
  <c r="B33" i="28"/>
  <c r="AQ375" i="9"/>
  <c r="H87" i="34" s="1"/>
  <c r="P301" i="9"/>
  <c r="AQ282" i="9" s="1"/>
  <c r="H66" i="34" s="1"/>
  <c r="AQ385" i="9"/>
  <c r="H97" i="34" s="1"/>
  <c r="R241" i="9"/>
  <c r="B53" i="26" s="1"/>
  <c r="L231" i="9"/>
  <c r="AQ216" i="9"/>
  <c r="P56" i="34" s="1"/>
  <c r="S216" i="9"/>
  <c r="X210" i="9"/>
  <c r="X235" i="9" s="1"/>
  <c r="H47" i="26" s="1"/>
  <c r="Q40" i="24"/>
  <c r="U76" i="35"/>
  <c r="U73" i="35"/>
  <c r="Q106" i="6"/>
  <c r="H13" i="27" s="1"/>
  <c r="N93" i="6"/>
  <c r="T22" i="35"/>
  <c r="M76" i="35"/>
  <c r="M73" i="35"/>
  <c r="L76" i="35"/>
  <c r="L73" i="35"/>
  <c r="T65" i="37"/>
  <c r="T27" i="37"/>
  <c r="S76" i="35"/>
  <c r="S73" i="35"/>
  <c r="S65" i="37"/>
  <c r="S27" i="37"/>
  <c r="R76" i="35"/>
  <c r="R73" i="35"/>
  <c r="T997" i="9"/>
  <c r="T1020" i="9" s="1"/>
  <c r="L995" i="9"/>
  <c r="AM924" i="9"/>
  <c r="L204" i="34" s="1"/>
  <c r="T942" i="9"/>
  <c r="D199" i="26" s="1"/>
  <c r="T918" i="9"/>
  <c r="T1006" i="9"/>
  <c r="T1029" i="9" s="1"/>
  <c r="N849" i="9"/>
  <c r="F113" i="32" s="1"/>
  <c r="S835" i="9"/>
  <c r="S841" i="9" s="1"/>
  <c r="V1019" i="9"/>
  <c r="AN901" i="9"/>
  <c r="E198" i="34" s="1"/>
  <c r="T1000" i="9"/>
  <c r="T1023" i="9" s="1"/>
  <c r="U1006" i="9"/>
  <c r="U1029" i="9" s="1"/>
  <c r="W666" i="9"/>
  <c r="O709" i="9" s="1"/>
  <c r="W690" i="9"/>
  <c r="G151" i="26" s="1"/>
  <c r="AQ768" i="9"/>
  <c r="U769" i="9"/>
  <c r="E161" i="26" s="1"/>
  <c r="U859" i="9"/>
  <c r="E183" i="26" s="1"/>
  <c r="R860" i="9"/>
  <c r="B184" i="26" s="1"/>
  <c r="AK757" i="9"/>
  <c r="J172" i="34" s="1"/>
  <c r="J724" i="9"/>
  <c r="AQ815" i="9"/>
  <c r="H179" i="34" s="1"/>
  <c r="AQ739" i="9"/>
  <c r="H171" i="34" s="1"/>
  <c r="H78" i="32"/>
  <c r="S604" i="9"/>
  <c r="C132" i="26" s="1"/>
  <c r="L673" i="9"/>
  <c r="D156" i="28"/>
  <c r="AK558" i="9"/>
  <c r="B126" i="34" s="1"/>
  <c r="P575" i="9"/>
  <c r="AQ587" i="9" s="1"/>
  <c r="P138" i="34" s="1"/>
  <c r="J587" i="9"/>
  <c r="B126" i="28"/>
  <c r="R684" i="9"/>
  <c r="B145" i="26" s="1"/>
  <c r="R599" i="9"/>
  <c r="B127" i="26" s="1"/>
  <c r="P532" i="9"/>
  <c r="H66" i="32"/>
  <c r="R749" i="9"/>
  <c r="T577" i="9"/>
  <c r="T600" i="9" s="1"/>
  <c r="D128" i="26" s="1"/>
  <c r="AQ287" i="9"/>
  <c r="H71" i="34" s="1"/>
  <c r="H71" i="28"/>
  <c r="AQ559" i="9"/>
  <c r="H127" i="34" s="1"/>
  <c r="R521" i="9"/>
  <c r="B117" i="26" s="1"/>
  <c r="U308" i="9"/>
  <c r="U315" i="9" s="1"/>
  <c r="U334" i="9"/>
  <c r="E74" i="26" s="1"/>
  <c r="M413" i="9"/>
  <c r="K391" i="9"/>
  <c r="AN381" i="9"/>
  <c r="E93" i="34" s="1"/>
  <c r="E93" i="28"/>
  <c r="R333" i="9"/>
  <c r="B73" i="26" s="1"/>
  <c r="AQ560" i="9"/>
  <c r="H128" i="34" s="1"/>
  <c r="AQ397" i="9"/>
  <c r="P93" i="34" s="1"/>
  <c r="AM374" i="9"/>
  <c r="D86" i="34" s="1"/>
  <c r="P226" i="9"/>
  <c r="AQ197" i="9"/>
  <c r="H53" i="34" s="1"/>
  <c r="H53" i="28"/>
  <c r="M322" i="9"/>
  <c r="E49" i="32"/>
  <c r="AQ100" i="9"/>
  <c r="H28" i="34" s="1"/>
  <c r="H28" i="28"/>
  <c r="AK98" i="9"/>
  <c r="B26" i="34" s="1"/>
  <c r="O93" i="6"/>
  <c r="L232" i="9"/>
  <c r="AQ108" i="9"/>
  <c r="H36" i="34" s="1"/>
  <c r="P209" i="9"/>
  <c r="W223" i="9"/>
  <c r="W234" i="9"/>
  <c r="G46" i="26" s="1"/>
  <c r="T756" i="9"/>
  <c r="T752" i="9"/>
  <c r="T747" i="9"/>
  <c r="T770" i="9" s="1"/>
  <c r="D162" i="26" s="1"/>
  <c r="T749" i="9"/>
  <c r="T772" i="9" s="1"/>
  <c r="D164" i="26" s="1"/>
  <c r="T753" i="9"/>
  <c r="T746" i="9"/>
  <c r="T754" i="9"/>
  <c r="T94" i="6"/>
  <c r="I40" i="24"/>
  <c r="O880" i="9"/>
  <c r="W880" i="9" s="1"/>
  <c r="N85" i="6"/>
  <c r="E6" i="27" s="1"/>
  <c r="F14" i="38" s="1"/>
  <c r="F43" i="38" s="1"/>
  <c r="L22" i="35"/>
  <c r="T47" i="37"/>
  <c r="E76" i="35"/>
  <c r="E73" i="35"/>
  <c r="L65" i="37"/>
  <c r="L27" i="37"/>
  <c r="K76" i="35"/>
  <c r="K73" i="35"/>
  <c r="K65" i="37"/>
  <c r="K27" i="37"/>
  <c r="J69" i="35"/>
  <c r="AG62" i="35"/>
  <c r="AJ62" i="35" s="1"/>
  <c r="H116" i="32"/>
  <c r="Y76" i="35"/>
  <c r="Y73" i="35"/>
  <c r="AM901" i="9"/>
  <c r="D198" i="34" s="1"/>
  <c r="L932" i="9"/>
  <c r="D198" i="28"/>
  <c r="AL930" i="9"/>
  <c r="K932" i="9"/>
  <c r="C198" i="28"/>
  <c r="T1002" i="9"/>
  <c r="L1001" i="9"/>
  <c r="U1005" i="9"/>
  <c r="U1028" i="9" s="1"/>
  <c r="AQ904" i="9"/>
  <c r="H201" i="34" s="1"/>
  <c r="N765" i="9"/>
  <c r="F104" i="32" s="1"/>
  <c r="R1005" i="9"/>
  <c r="R998" i="9"/>
  <c r="M841" i="9"/>
  <c r="E176" i="28"/>
  <c r="AM847" i="9"/>
  <c r="L849" i="9"/>
  <c r="D113" i="32" s="1"/>
  <c r="D182" i="28"/>
  <c r="AL812" i="9"/>
  <c r="C176" i="34" s="1"/>
  <c r="AO763" i="9"/>
  <c r="L841" i="9"/>
  <c r="AN757" i="9"/>
  <c r="M172" i="34" s="1"/>
  <c r="M724" i="9"/>
  <c r="J757" i="9"/>
  <c r="AK740" i="9" s="1"/>
  <c r="B172" i="34" s="1"/>
  <c r="P745" i="9"/>
  <c r="B160" i="28"/>
  <c r="H89" i="32"/>
  <c r="AL678" i="9"/>
  <c r="K680" i="9"/>
  <c r="C95" i="32" s="1"/>
  <c r="C150" i="28"/>
  <c r="V829" i="9"/>
  <c r="V853" i="9"/>
  <c r="F177" i="26" s="1"/>
  <c r="T853" i="9"/>
  <c r="D177" i="26" s="1"/>
  <c r="R859" i="9"/>
  <c r="B183" i="26" s="1"/>
  <c r="R835" i="9"/>
  <c r="S852" i="9"/>
  <c r="C176" i="26" s="1"/>
  <c r="AP812" i="9"/>
  <c r="G176" i="34" s="1"/>
  <c r="T586" i="9"/>
  <c r="T582" i="9"/>
  <c r="T576" i="9"/>
  <c r="T578" i="9"/>
  <c r="T601" i="9" s="1"/>
  <c r="D129" i="26" s="1"/>
  <c r="T584" i="9"/>
  <c r="T579" i="9"/>
  <c r="AQ647" i="9"/>
  <c r="H148" i="34" s="1"/>
  <c r="AM587" i="9"/>
  <c r="L138" i="34" s="1"/>
  <c r="AM570" i="9"/>
  <c r="D138" i="34" s="1"/>
  <c r="AO480" i="9"/>
  <c r="F120" i="34" s="1"/>
  <c r="AO496" i="9"/>
  <c r="N120" i="34" s="1"/>
  <c r="N462" i="9"/>
  <c r="N482" i="9"/>
  <c r="AQ652" i="9"/>
  <c r="H153" i="34" s="1"/>
  <c r="J506" i="9"/>
  <c r="B73" i="32"/>
  <c r="R606" i="9"/>
  <c r="B134" i="26" s="1"/>
  <c r="W511" i="9"/>
  <c r="G107" i="26" s="1"/>
  <c r="AO404" i="9"/>
  <c r="N100" i="34" s="1"/>
  <c r="N370" i="9"/>
  <c r="N390" i="9"/>
  <c r="R515" i="9"/>
  <c r="B111" i="26" s="1"/>
  <c r="J321" i="9"/>
  <c r="P308" i="9"/>
  <c r="P323" i="9" s="1"/>
  <c r="H49" i="32" s="1"/>
  <c r="AK289" i="9"/>
  <c r="B73" i="34" s="1"/>
  <c r="B73" i="28"/>
  <c r="R511" i="9"/>
  <c r="B107" i="26" s="1"/>
  <c r="X486" i="9"/>
  <c r="X511" i="9" s="1"/>
  <c r="H107" i="26" s="1"/>
  <c r="K316" i="9"/>
  <c r="C80" i="28"/>
  <c r="K594" i="9"/>
  <c r="C84" i="32"/>
  <c r="P492" i="9"/>
  <c r="P507" i="9" s="1"/>
  <c r="H73" i="32" s="1"/>
  <c r="L316" i="9"/>
  <c r="D80" i="28"/>
  <c r="AQ99" i="9"/>
  <c r="H27" i="34" s="1"/>
  <c r="H27" i="28"/>
  <c r="AM190" i="9"/>
  <c r="D46" i="34" s="1"/>
  <c r="L225" i="9"/>
  <c r="L223" i="9"/>
  <c r="D46" i="28"/>
  <c r="L133" i="9"/>
  <c r="L131" i="9"/>
  <c r="D26" i="28"/>
  <c r="M186" i="9"/>
  <c r="AN220" i="9"/>
  <c r="M60" i="34" s="1"/>
  <c r="N94" i="9"/>
  <c r="AQ101" i="9"/>
  <c r="H29" i="34" s="1"/>
  <c r="H29" i="28"/>
  <c r="S234" i="9"/>
  <c r="C46" i="26" s="1"/>
  <c r="R175" i="9"/>
  <c r="B37" i="26"/>
  <c r="AL220" i="9"/>
  <c r="K60" i="34" s="1"/>
  <c r="AQ217" i="9"/>
  <c r="P57" i="34" s="1"/>
  <c r="AQ110" i="9"/>
  <c r="H38" i="34" s="1"/>
  <c r="AK128" i="9"/>
  <c r="J40" i="34" s="1"/>
  <c r="O69" i="35"/>
  <c r="AH62" i="35"/>
  <c r="Q76" i="35"/>
  <c r="Q73" i="35"/>
  <c r="S1002" i="9"/>
  <c r="P1002" i="9"/>
  <c r="K1001" i="9"/>
  <c r="AQ903" i="9"/>
  <c r="H200" i="34" s="1"/>
  <c r="P918" i="9"/>
  <c r="T859" i="9"/>
  <c r="D183" i="26" s="1"/>
  <c r="R1004" i="9"/>
  <c r="J1007" i="9"/>
  <c r="J1008" i="9" s="1"/>
  <c r="J1013" i="9" s="1"/>
  <c r="AK841" i="9"/>
  <c r="J188" i="34" s="1"/>
  <c r="J808" i="9"/>
  <c r="M924" i="9"/>
  <c r="AN907" i="9" s="1"/>
  <c r="E204" i="34" s="1"/>
  <c r="R856" i="9"/>
  <c r="B180" i="26" s="1"/>
  <c r="P829" i="9"/>
  <c r="AQ812" i="9" s="1"/>
  <c r="H176" i="34" s="1"/>
  <c r="AQ765" i="9"/>
  <c r="H168" i="28"/>
  <c r="AM757" i="9"/>
  <c r="L172" i="34" s="1"/>
  <c r="AM740" i="9"/>
  <c r="D172" i="34" s="1"/>
  <c r="L724" i="9"/>
  <c r="AO734" i="9"/>
  <c r="F166" i="34" s="1"/>
  <c r="K672" i="9"/>
  <c r="AL643" i="9"/>
  <c r="C144" i="34" s="1"/>
  <c r="K674" i="9"/>
  <c r="C144" i="28"/>
  <c r="R863" i="9"/>
  <c r="B187" i="26" s="1"/>
  <c r="AQ823" i="9"/>
  <c r="H187" i="34" s="1"/>
  <c r="AQ738" i="9"/>
  <c r="H170" i="34" s="1"/>
  <c r="R693" i="9"/>
  <c r="B154" i="26" s="1"/>
  <c r="P555" i="9"/>
  <c r="AQ581" i="9"/>
  <c r="P132" i="34" s="1"/>
  <c r="P571" i="9"/>
  <c r="AQ646" i="9"/>
  <c r="H147" i="34" s="1"/>
  <c r="AQ651" i="9"/>
  <c r="H152" i="34" s="1"/>
  <c r="U586" i="9"/>
  <c r="U582" i="9"/>
  <c r="U576" i="9"/>
  <c r="U583" i="9"/>
  <c r="U577" i="9"/>
  <c r="U600" i="9" s="1"/>
  <c r="E128" i="26" s="1"/>
  <c r="U584" i="9"/>
  <c r="U579" i="9"/>
  <c r="U602" i="9" s="1"/>
  <c r="E130" i="26" s="1"/>
  <c r="U580" i="9"/>
  <c r="U603" i="9" s="1"/>
  <c r="E131" i="26" s="1"/>
  <c r="V583" i="9"/>
  <c r="V606" i="9" s="1"/>
  <c r="F134" i="26" s="1"/>
  <c r="V577" i="9"/>
  <c r="V600" i="9" s="1"/>
  <c r="F128" i="26" s="1"/>
  <c r="V578" i="9"/>
  <c r="V601" i="9" s="1"/>
  <c r="F129" i="26" s="1"/>
  <c r="V580" i="9"/>
  <c r="V603" i="9" s="1"/>
  <c r="F131" i="26" s="1"/>
  <c r="V585" i="9"/>
  <c r="V608" i="9" s="1"/>
  <c r="F136" i="26" s="1"/>
  <c r="O506" i="9"/>
  <c r="G73" i="32"/>
  <c r="S511" i="9"/>
  <c r="C107" i="26" s="1"/>
  <c r="S485" i="9"/>
  <c r="J594" i="9"/>
  <c r="B84" i="32"/>
  <c r="S517" i="9"/>
  <c r="C113" i="26" s="1"/>
  <c r="P296" i="9"/>
  <c r="K298" i="9"/>
  <c r="AK587" i="9"/>
  <c r="J138" i="34" s="1"/>
  <c r="AQ470" i="9"/>
  <c r="H110" i="34" s="1"/>
  <c r="T511" i="9"/>
  <c r="D107" i="26" s="1"/>
  <c r="T485" i="9"/>
  <c r="P393" i="9"/>
  <c r="AQ374" i="9" s="1"/>
  <c r="H86" i="34" s="1"/>
  <c r="J407" i="9"/>
  <c r="AK388" i="9" s="1"/>
  <c r="B100" i="34" s="1"/>
  <c r="J409" i="9"/>
  <c r="B86" i="28"/>
  <c r="O316" i="9"/>
  <c r="G80" i="28"/>
  <c r="J224" i="9"/>
  <c r="B60" i="28"/>
  <c r="P400" i="9"/>
  <c r="P415" i="9" s="1"/>
  <c r="H61" i="32" s="1"/>
  <c r="X394" i="9"/>
  <c r="X419" i="9" s="1"/>
  <c r="H87" i="26" s="1"/>
  <c r="O224" i="9"/>
  <c r="M249" i="9"/>
  <c r="P186" i="9"/>
  <c r="AP296" i="9"/>
  <c r="G80" i="34" s="1"/>
  <c r="N187" i="9"/>
  <c r="N231" i="9"/>
  <c r="F37" i="32" s="1"/>
  <c r="F30" i="32"/>
  <c r="X213" i="9"/>
  <c r="X238" i="9" s="1"/>
  <c r="H50" i="26" s="1"/>
  <c r="R238" i="9"/>
  <c r="B50" i="26" s="1"/>
  <c r="AQ107" i="9"/>
  <c r="H35" i="34" s="1"/>
  <c r="AQ219" i="9"/>
  <c r="P59" i="34" s="1"/>
  <c r="R944" i="9"/>
  <c r="B201" i="26" s="1"/>
  <c r="AA67" i="35"/>
  <c r="AA71" i="35" s="1"/>
  <c r="AE46" i="35"/>
  <c r="L962" i="9"/>
  <c r="D137" i="33" s="1"/>
  <c r="J965" i="9"/>
  <c r="B140" i="33" s="1"/>
  <c r="Y92" i="6"/>
  <c r="P76" i="35"/>
  <c r="P73" i="35"/>
  <c r="N65" i="37"/>
  <c r="N27" i="37"/>
  <c r="M932" i="9"/>
  <c r="AO924" i="9"/>
  <c r="N204" i="34" s="1"/>
  <c r="L924" i="9"/>
  <c r="D192" i="28"/>
  <c r="R999" i="9"/>
  <c r="P912" i="9"/>
  <c r="J924" i="9"/>
  <c r="B192" i="28"/>
  <c r="R943" i="9"/>
  <c r="B200" i="26" s="1"/>
  <c r="AQ766" i="9"/>
  <c r="H169" i="28"/>
  <c r="T1004" i="9"/>
  <c r="T1027" i="9" s="1"/>
  <c r="V936" i="9"/>
  <c r="F193" i="26" s="1"/>
  <c r="AQ851" i="9"/>
  <c r="H186" i="28"/>
  <c r="AQ848" i="9"/>
  <c r="H183" i="28"/>
  <c r="N841" i="9"/>
  <c r="M757" i="9"/>
  <c r="AN728" i="9"/>
  <c r="E160" i="34" s="1"/>
  <c r="E160" i="28"/>
  <c r="T755" i="9"/>
  <c r="R854" i="9"/>
  <c r="B178" i="26" s="1"/>
  <c r="AM672" i="9"/>
  <c r="L156" i="34" s="1"/>
  <c r="AM655" i="9"/>
  <c r="D156" i="34" s="1"/>
  <c r="AQ682" i="9"/>
  <c r="H154" i="28"/>
  <c r="S684" i="9"/>
  <c r="C145" i="26" s="1"/>
  <c r="S660" i="9"/>
  <c r="AQ735" i="9"/>
  <c r="H167" i="34" s="1"/>
  <c r="R688" i="9"/>
  <c r="B149" i="26" s="1"/>
  <c r="AQ645" i="9"/>
  <c r="H146" i="34" s="1"/>
  <c r="AN496" i="9"/>
  <c r="M120" i="34" s="1"/>
  <c r="M462" i="9"/>
  <c r="P724" i="9"/>
  <c r="O587" i="9"/>
  <c r="AP558" i="9"/>
  <c r="G126" i="34" s="1"/>
  <c r="G126" i="28"/>
  <c r="M507" i="9"/>
  <c r="M505" i="9"/>
  <c r="E113" i="28"/>
  <c r="M594" i="9"/>
  <c r="E84" i="32"/>
  <c r="AL672" i="9"/>
  <c r="K156" i="34" s="1"/>
  <c r="K482" i="9"/>
  <c r="N500" i="9"/>
  <c r="F120" i="28"/>
  <c r="AQ565" i="9"/>
  <c r="H133" i="34" s="1"/>
  <c r="AK496" i="9"/>
  <c r="J120" i="34" s="1"/>
  <c r="J462" i="9"/>
  <c r="AK480" i="9"/>
  <c r="B120" i="34" s="1"/>
  <c r="V576" i="9"/>
  <c r="M499" i="9"/>
  <c r="U418" i="9"/>
  <c r="E86" i="26" s="1"/>
  <c r="AQ203" i="9"/>
  <c r="H59" i="34" s="1"/>
  <c r="H59" i="28"/>
  <c r="X395" i="9"/>
  <c r="X420" i="9" s="1"/>
  <c r="H88" i="26" s="1"/>
  <c r="J231" i="9"/>
  <c r="B37" i="32" s="1"/>
  <c r="J187" i="9"/>
  <c r="P234" i="9"/>
  <c r="B30" i="32"/>
  <c r="AQ286" i="9"/>
  <c r="H70" i="34" s="1"/>
  <c r="AQ201" i="9"/>
  <c r="H57" i="34" s="1"/>
  <c r="H57" i="28"/>
  <c r="AP128" i="9"/>
  <c r="O40" i="34" s="1"/>
  <c r="O94" i="9"/>
  <c r="AQ292" i="9"/>
  <c r="H76" i="34" s="1"/>
  <c r="K132" i="9"/>
  <c r="U143" i="9"/>
  <c r="E27" i="26" s="1"/>
  <c r="U117" i="9"/>
  <c r="R267" i="9"/>
  <c r="B57" i="26"/>
  <c r="AM220" i="9"/>
  <c r="L60" i="34" s="1"/>
  <c r="AQ192" i="9"/>
  <c r="H48" i="34" s="1"/>
  <c r="P94" i="9"/>
  <c r="AF26" i="20"/>
  <c r="L714" i="9"/>
  <c r="T714" i="9" s="1"/>
  <c r="O712" i="9"/>
  <c r="W712" i="9" s="1"/>
  <c r="AH14" i="20"/>
  <c r="J92" i="6"/>
  <c r="AI75" i="24"/>
  <c r="AI73" i="24"/>
  <c r="X40" i="24"/>
  <c r="H40" i="24"/>
  <c r="L713" i="9"/>
  <c r="T713" i="9" s="1"/>
  <c r="M962" i="9"/>
  <c r="E137" i="33" s="1"/>
  <c r="K882" i="9"/>
  <c r="C129" i="33" s="1"/>
  <c r="O711" i="9"/>
  <c r="G105" i="33" s="1"/>
  <c r="AG26" i="20"/>
  <c r="D110" i="33"/>
  <c r="K881" i="9"/>
  <c r="C132" i="33"/>
  <c r="J61" i="6"/>
  <c r="J63" i="6" s="1"/>
  <c r="J75" i="6" s="1"/>
  <c r="R40" i="24"/>
  <c r="H30" i="24"/>
  <c r="AG14" i="20"/>
  <c r="U40" i="6"/>
  <c r="U41" i="6"/>
  <c r="AF14" i="20"/>
  <c r="AJ70" i="24"/>
  <c r="O40" i="6"/>
  <c r="O41" i="6"/>
  <c r="M40" i="6"/>
  <c r="M41" i="6"/>
  <c r="AA41" i="6"/>
  <c r="R41" i="6"/>
  <c r="R40" i="6"/>
  <c r="AJ69" i="24"/>
  <c r="P40" i="6"/>
  <c r="P41" i="6"/>
  <c r="S41" i="6"/>
  <c r="S40" i="6"/>
  <c r="Z40" i="24"/>
  <c r="R30" i="24"/>
  <c r="K41" i="6"/>
  <c r="K40" i="6"/>
  <c r="L41" i="6"/>
  <c r="L40" i="6"/>
  <c r="AB41" i="6"/>
  <c r="AH26" i="20"/>
  <c r="Q41" i="6"/>
  <c r="Q40" i="6"/>
  <c r="N40" i="6"/>
  <c r="N41" i="6"/>
  <c r="T41" i="6"/>
  <c r="T40" i="6"/>
  <c r="AH75" i="24"/>
  <c r="J40" i="24"/>
  <c r="M964" i="9"/>
  <c r="E143" i="33"/>
  <c r="I61" i="6"/>
  <c r="G110" i="33"/>
  <c r="AH74" i="24"/>
  <c r="U60" i="6"/>
  <c r="U63" i="6" s="1"/>
  <c r="U66" i="6" s="1"/>
  <c r="H25" i="38"/>
  <c r="G60" i="6"/>
  <c r="G63" i="6" s="1"/>
  <c r="G66" i="6" s="1"/>
  <c r="E60" i="6"/>
  <c r="E63" i="6" s="1"/>
  <c r="E66" i="6" s="1"/>
  <c r="K16" i="27"/>
  <c r="Z34" i="4" s="1"/>
  <c r="Z67" i="35"/>
  <c r="Z71" i="35" s="1"/>
  <c r="Z62" i="35"/>
  <c r="Z69" i="35" s="1"/>
  <c r="M9" i="27"/>
  <c r="M7" i="27" s="1"/>
  <c r="X113" i="6"/>
  <c r="O16" i="27"/>
  <c r="AD34" i="4" s="1"/>
  <c r="L13" i="27"/>
  <c r="K85" i="6"/>
  <c r="B6" i="27" s="1"/>
  <c r="AB112" i="6"/>
  <c r="S14" i="27"/>
  <c r="V106" i="6"/>
  <c r="I16" i="27"/>
  <c r="X34" i="4" s="1"/>
  <c r="V112" i="6"/>
  <c r="M14" i="27"/>
  <c r="AA76" i="35"/>
  <c r="AA73" i="35"/>
  <c r="AE55" i="35"/>
  <c r="AA68" i="35"/>
  <c r="AA72" i="35" s="1"/>
  <c r="L112" i="6"/>
  <c r="C14" i="27"/>
  <c r="Q16" i="27"/>
  <c r="AF34" i="4" s="1"/>
  <c r="L14" i="27"/>
  <c r="V93" i="6"/>
  <c r="V105" i="6"/>
  <c r="M18" i="27" s="1"/>
  <c r="AB113" i="6"/>
  <c r="S16" i="27"/>
  <c r="S105" i="6"/>
  <c r="J9" i="27"/>
  <c r="J7" i="27" s="1"/>
  <c r="M112" i="6"/>
  <c r="D14" i="27"/>
  <c r="M93" i="6"/>
  <c r="P948" i="9"/>
  <c r="B9" i="27"/>
  <c r="B7" i="27" s="1"/>
  <c r="C16" i="27"/>
  <c r="R34" i="4" s="1"/>
  <c r="L113" i="6"/>
  <c r="K105" i="6"/>
  <c r="B18" i="27" s="1"/>
  <c r="P113" i="6"/>
  <c r="G16" i="27"/>
  <c r="V34" i="4" s="1"/>
  <c r="M85" i="6"/>
  <c r="D6" i="27" s="1"/>
  <c r="E14" i="38" s="1"/>
  <c r="E48" i="38" s="1"/>
  <c r="V85" i="6"/>
  <c r="M6" i="27" s="1"/>
  <c r="N112" i="6"/>
  <c r="E14" i="27"/>
  <c r="E92" i="6"/>
  <c r="C13" i="27"/>
  <c r="AA113" i="6"/>
  <c r="R16" i="27"/>
  <c r="AG34" i="4" s="1"/>
  <c r="AA112" i="6"/>
  <c r="R14" i="27"/>
  <c r="Q93" i="6"/>
  <c r="P696" i="9"/>
  <c r="S85" i="6"/>
  <c r="J6" i="27" s="1"/>
  <c r="K14" i="38" s="1"/>
  <c r="N106" i="6"/>
  <c r="L16" i="27"/>
  <c r="AA34" i="4" s="1"/>
  <c r="U113" i="6"/>
  <c r="J13" i="27"/>
  <c r="K9" i="27"/>
  <c r="K7" i="27" s="1"/>
  <c r="J16" i="27"/>
  <c r="Y34" i="4" s="1"/>
  <c r="S112" i="6"/>
  <c r="J14" i="27"/>
  <c r="L9" i="27"/>
  <c r="L7" i="27" s="1"/>
  <c r="U85" i="6"/>
  <c r="L6" i="27" s="1"/>
  <c r="V113" i="6"/>
  <c r="M106" i="6"/>
  <c r="M113" i="6"/>
  <c r="D16" i="27"/>
  <c r="S34" i="4" s="1"/>
  <c r="K106" i="6"/>
  <c r="B13" i="27" s="1"/>
  <c r="L85" i="6"/>
  <c r="C6" i="27" s="1"/>
  <c r="D14" i="38" s="1"/>
  <c r="D43" i="38" s="1"/>
  <c r="C9" i="27"/>
  <c r="C7" i="27" s="1"/>
  <c r="L93" i="6"/>
  <c r="S93" i="6"/>
  <c r="Q85" i="6"/>
  <c r="H6" i="27" s="1"/>
  <c r="I14" i="38" s="1"/>
  <c r="P142" i="9"/>
  <c r="H18" i="32" s="1"/>
  <c r="N139" i="9"/>
  <c r="F25" i="32" s="1"/>
  <c r="N95" i="9"/>
  <c r="F18" i="32"/>
  <c r="N157" i="9"/>
  <c r="AO128" i="9"/>
  <c r="N40" i="34" s="1"/>
  <c r="AO121" i="9"/>
  <c r="N33" i="34" s="1"/>
  <c r="K138" i="9"/>
  <c r="C25" i="32"/>
  <c r="Q76" i="6"/>
  <c r="Q67" i="6"/>
  <c r="I19" i="27"/>
  <c r="W40" i="24"/>
  <c r="W30" i="24"/>
  <c r="N40" i="24"/>
  <c r="N30" i="24"/>
  <c r="R75" i="6"/>
  <c r="R66" i="6"/>
  <c r="E80" i="6"/>
  <c r="E84" i="6"/>
  <c r="E90" i="6" s="1"/>
  <c r="E91" i="6"/>
  <c r="D80" i="6"/>
  <c r="D84" i="6"/>
  <c r="D90" i="6" s="1"/>
  <c r="D91" i="6"/>
  <c r="K60" i="6"/>
  <c r="D126" i="33"/>
  <c r="M30" i="24"/>
  <c r="M40" i="24"/>
  <c r="V60" i="6"/>
  <c r="AH69" i="24"/>
  <c r="AH68" i="24"/>
  <c r="O40" i="24"/>
  <c r="O30" i="24"/>
  <c r="F40" i="24"/>
  <c r="F30" i="24"/>
  <c r="U30" i="24"/>
  <c r="U40" i="24"/>
  <c r="AJ74" i="24"/>
  <c r="AJ75" i="24"/>
  <c r="S965" i="9"/>
  <c r="C140" i="33"/>
  <c r="S40" i="24"/>
  <c r="AG70" i="24"/>
  <c r="AI70" i="24"/>
  <c r="F84" i="6"/>
  <c r="F85" i="6" s="1"/>
  <c r="F88" i="6" s="1"/>
  <c r="F91" i="6"/>
  <c r="F80" i="6"/>
  <c r="F89" i="6"/>
  <c r="S963" i="9"/>
  <c r="C138" i="33"/>
  <c r="AG75" i="24"/>
  <c r="AG73" i="24"/>
  <c r="AG69" i="24"/>
  <c r="T30" i="24"/>
  <c r="T40" i="24"/>
  <c r="S710" i="9"/>
  <c r="C104" i="33"/>
  <c r="D19" i="27"/>
  <c r="M110" i="6"/>
  <c r="F60" i="6"/>
  <c r="F63" i="6" s="1"/>
  <c r="B138" i="33"/>
  <c r="AG74" i="24"/>
  <c r="L30" i="24"/>
  <c r="L40" i="24"/>
  <c r="G84" i="6"/>
  <c r="G90" i="6" s="1"/>
  <c r="G91" i="6"/>
  <c r="G80" i="6"/>
  <c r="K40" i="24"/>
  <c r="O60" i="6"/>
  <c r="D89" i="6"/>
  <c r="G89" i="6"/>
  <c r="Q65" i="6"/>
  <c r="Q75" i="6"/>
  <c r="Q66" i="6"/>
  <c r="S63" i="6"/>
  <c r="S799" i="9"/>
  <c r="C119" i="33"/>
  <c r="D60" i="6"/>
  <c r="D63" i="6" s="1"/>
  <c r="L60" i="6"/>
  <c r="R64" i="6"/>
  <c r="G40" i="24"/>
  <c r="G30" i="24"/>
  <c r="AI69" i="24"/>
  <c r="V40" i="24"/>
  <c r="V30" i="24"/>
  <c r="S713" i="9"/>
  <c r="C107" i="33"/>
  <c r="I60" i="6"/>
  <c r="H60" i="6"/>
  <c r="E89" i="6"/>
  <c r="E17" i="36"/>
  <c r="B16" i="36"/>
  <c r="D17" i="36"/>
  <c r="J16" i="36"/>
  <c r="B19" i="36"/>
  <c r="O90" i="6"/>
  <c r="O126" i="6"/>
  <c r="O118" i="6"/>
  <c r="S90" i="6"/>
  <c r="S126" i="6"/>
  <c r="S118" i="6"/>
  <c r="F16" i="36"/>
  <c r="C28" i="38"/>
  <c r="D26" i="38"/>
  <c r="C26" i="38"/>
  <c r="U90" i="6"/>
  <c r="U126" i="6"/>
  <c r="U118" i="6"/>
  <c r="AB126" i="6"/>
  <c r="AB118" i="6"/>
  <c r="E16" i="36"/>
  <c r="F19" i="36"/>
  <c r="D19" i="36"/>
  <c r="J15" i="36"/>
  <c r="I19" i="36"/>
  <c r="C19" i="36"/>
  <c r="K17" i="36"/>
  <c r="V46" i="6"/>
  <c r="V94" i="6" s="1"/>
  <c r="K90" i="6"/>
  <c r="B15" i="27" s="1"/>
  <c r="K126" i="6"/>
  <c r="K118" i="6"/>
  <c r="P126" i="6"/>
  <c r="P118" i="6"/>
  <c r="M90" i="6"/>
  <c r="M126" i="6"/>
  <c r="M118" i="6"/>
  <c r="T90" i="6"/>
  <c r="T126" i="6"/>
  <c r="T118" i="6"/>
  <c r="G16" i="36"/>
  <c r="I17" i="36"/>
  <c r="J19" i="36"/>
  <c r="K16" i="36"/>
  <c r="G15" i="36"/>
  <c r="N27" i="38"/>
  <c r="P25" i="38"/>
  <c r="B14" i="36"/>
  <c r="Y26" i="24"/>
  <c r="N90" i="6"/>
  <c r="N126" i="6"/>
  <c r="N118" i="6"/>
  <c r="R126" i="6"/>
  <c r="R118" i="6"/>
  <c r="P26" i="38"/>
  <c r="K19" i="36"/>
  <c r="R27" i="38"/>
  <c r="E28" i="38"/>
  <c r="L28" i="38"/>
  <c r="D7" i="36"/>
  <c r="S28" i="38"/>
  <c r="T26" i="38"/>
  <c r="D15" i="36"/>
  <c r="Z26" i="24"/>
  <c r="D18" i="36"/>
  <c r="L90" i="6"/>
  <c r="L126" i="6"/>
  <c r="L118" i="6"/>
  <c r="Q126" i="6"/>
  <c r="Q118" i="6"/>
  <c r="Q90" i="6"/>
  <c r="J14" i="36"/>
  <c r="AA90" i="6"/>
  <c r="AA126" i="6"/>
  <c r="AA118" i="6"/>
  <c r="C16" i="36"/>
  <c r="H26" i="38"/>
  <c r="J27" i="38"/>
  <c r="N26" i="38"/>
  <c r="K28" i="38"/>
  <c r="F17" i="36"/>
  <c r="L26" i="38"/>
  <c r="S26" i="38"/>
  <c r="M27" i="38"/>
  <c r="H16" i="36"/>
  <c r="E15" i="36"/>
  <c r="G19" i="36"/>
  <c r="M1007" i="9" l="1"/>
  <c r="M1008" i="9" s="1"/>
  <c r="M1013" i="9" s="1"/>
  <c r="T660" i="9"/>
  <c r="W859" i="9"/>
  <c r="G183" i="26" s="1"/>
  <c r="Z113" i="6"/>
  <c r="G60" i="28"/>
  <c r="AL570" i="9"/>
  <c r="C138" i="34" s="1"/>
  <c r="L881" i="9"/>
  <c r="T881" i="9" s="1"/>
  <c r="R829" i="9"/>
  <c r="R852" i="9" s="1"/>
  <c r="B176" i="26" s="1"/>
  <c r="M963" i="9"/>
  <c r="U963" i="9" s="1"/>
  <c r="X920" i="9"/>
  <c r="X943" i="9" s="1"/>
  <c r="H200" i="26" s="1"/>
  <c r="C138" i="28"/>
  <c r="O138" i="9"/>
  <c r="N1007" i="9"/>
  <c r="N1008" i="9" s="1"/>
  <c r="N1013" i="9" s="1"/>
  <c r="R407" i="9"/>
  <c r="B120" i="28"/>
  <c r="F40" i="28"/>
  <c r="R131" i="9"/>
  <c r="X497" i="9"/>
  <c r="X522" i="9" s="1"/>
  <c r="H118" i="26" s="1"/>
  <c r="X662" i="9"/>
  <c r="X685" i="9" s="1"/>
  <c r="H146" i="26" s="1"/>
  <c r="M799" i="9"/>
  <c r="U799" i="9" s="1"/>
  <c r="R575" i="9"/>
  <c r="K14" i="27"/>
  <c r="T112" i="6"/>
  <c r="V912" i="9"/>
  <c r="V935" i="9" s="1"/>
  <c r="F192" i="26" s="1"/>
  <c r="T912" i="9"/>
  <c r="N132" i="9"/>
  <c r="U835" i="9"/>
  <c r="R492" i="9"/>
  <c r="R517" i="9" s="1"/>
  <c r="B113" i="26" s="1"/>
  <c r="K991" i="9"/>
  <c r="X488" i="9"/>
  <c r="X513" i="9" s="1"/>
  <c r="H109" i="26" s="1"/>
  <c r="X840" i="9"/>
  <c r="X863" i="9" s="1"/>
  <c r="H187" i="26" s="1"/>
  <c r="F60" i="28"/>
  <c r="W660" i="9"/>
  <c r="AO204" i="9"/>
  <c r="F60" i="34" s="1"/>
  <c r="M883" i="9"/>
  <c r="U883" i="9" s="1"/>
  <c r="R90" i="6"/>
  <c r="S111" i="6" s="1"/>
  <c r="R85" i="6"/>
  <c r="I6" i="27" s="1"/>
  <c r="J14" i="38" s="1"/>
  <c r="J44" i="38" s="1"/>
  <c r="R93" i="6"/>
  <c r="R513" i="9"/>
  <c r="B109" i="26" s="1"/>
  <c r="R105" i="6"/>
  <c r="I18" i="27" s="1"/>
  <c r="U690" i="9"/>
  <c r="E151" i="26" s="1"/>
  <c r="P998" i="9"/>
  <c r="U666" i="9"/>
  <c r="X496" i="9"/>
  <c r="X521" i="9" s="1"/>
  <c r="H117" i="26" s="1"/>
  <c r="P65" i="9"/>
  <c r="C40" i="28"/>
  <c r="X831" i="9"/>
  <c r="X854" i="9" s="1"/>
  <c r="H178" i="26" s="1"/>
  <c r="T835" i="9"/>
  <c r="L878" i="9" s="1"/>
  <c r="R106" i="6"/>
  <c r="S115" i="6" s="1"/>
  <c r="W581" i="9"/>
  <c r="R94" i="6"/>
  <c r="C105" i="33"/>
  <c r="S883" i="9"/>
  <c r="R600" i="9"/>
  <c r="B128" i="26" s="1"/>
  <c r="G9" i="27"/>
  <c r="G7" i="27" s="1"/>
  <c r="F172" i="28"/>
  <c r="P995" i="9"/>
  <c r="AA94" i="6"/>
  <c r="P85" i="6"/>
  <c r="G6" i="27" s="1"/>
  <c r="Q6" i="36" s="1"/>
  <c r="P865" i="9"/>
  <c r="X491" i="9"/>
  <c r="X516" i="9" s="1"/>
  <c r="H112" i="26" s="1"/>
  <c r="P90" i="6"/>
  <c r="P111" i="6" s="1"/>
  <c r="P105" i="6"/>
  <c r="G18" i="27" s="1"/>
  <c r="P106" i="6"/>
  <c r="Q115" i="6" s="1"/>
  <c r="S966" i="9"/>
  <c r="C118" i="33"/>
  <c r="S964" i="9"/>
  <c r="C116" i="33"/>
  <c r="V110" i="6"/>
  <c r="N114" i="6"/>
  <c r="B156" i="28"/>
  <c r="L500" i="9"/>
  <c r="N758" i="9"/>
  <c r="X669" i="9"/>
  <c r="X692" i="9" s="1"/>
  <c r="H153" i="26" s="1"/>
  <c r="X667" i="9"/>
  <c r="X690" i="9" s="1"/>
  <c r="H151" i="26" s="1"/>
  <c r="T492" i="9"/>
  <c r="T499" i="9" s="1"/>
  <c r="R857" i="9"/>
  <c r="B181" i="26" s="1"/>
  <c r="AQ847" i="9"/>
  <c r="R520" i="9"/>
  <c r="B116" i="26" s="1"/>
  <c r="R581" i="9"/>
  <c r="X495" i="9"/>
  <c r="X520" i="9" s="1"/>
  <c r="H116" i="26" s="1"/>
  <c r="W751" i="9"/>
  <c r="W575" i="9"/>
  <c r="X913" i="9"/>
  <c r="X936" i="9" s="1"/>
  <c r="H193" i="26" s="1"/>
  <c r="L711" i="9"/>
  <c r="D105" i="33" s="1"/>
  <c r="W775" i="9"/>
  <c r="G167" i="26" s="1"/>
  <c r="J316" i="9"/>
  <c r="N110" i="6"/>
  <c r="O110" i="6"/>
  <c r="C137" i="33"/>
  <c r="AB94" i="6"/>
  <c r="AB90" i="6"/>
  <c r="S15" i="27" s="1"/>
  <c r="T666" i="9"/>
  <c r="L709" i="9" s="1"/>
  <c r="D103" i="33" s="1"/>
  <c r="AN204" i="9"/>
  <c r="E60" i="34" s="1"/>
  <c r="W523" i="9"/>
  <c r="G119" i="26" s="1"/>
  <c r="O714" i="9"/>
  <c r="W714" i="9" s="1"/>
  <c r="K322" i="9"/>
  <c r="X837" i="9"/>
  <c r="X860" i="9" s="1"/>
  <c r="H184" i="26" s="1"/>
  <c r="P676" i="9"/>
  <c r="V99" i="6" s="1"/>
  <c r="V102" i="6" s="1"/>
  <c r="S941" i="9"/>
  <c r="C198" i="26" s="1"/>
  <c r="K958" i="9"/>
  <c r="K959" i="9" s="1"/>
  <c r="P991" i="9"/>
  <c r="F73" i="32"/>
  <c r="X493" i="9"/>
  <c r="X518" i="9" s="1"/>
  <c r="H114" i="26" s="1"/>
  <c r="O962" i="9"/>
  <c r="G137" i="33" s="1"/>
  <c r="L19" i="38"/>
  <c r="O713" i="9"/>
  <c r="L880" i="9"/>
  <c r="T880" i="9" s="1"/>
  <c r="L414" i="9"/>
  <c r="O883" i="9"/>
  <c r="W883" i="9" s="1"/>
  <c r="R115" i="6"/>
  <c r="L710" i="9"/>
  <c r="D104" i="33" s="1"/>
  <c r="R425" i="9"/>
  <c r="B93" i="26" s="1"/>
  <c r="X494" i="9"/>
  <c r="X519" i="9" s="1"/>
  <c r="H115" i="26" s="1"/>
  <c r="T407" i="9"/>
  <c r="T432" i="9" s="1"/>
  <c r="D100" i="26" s="1"/>
  <c r="X498" i="9"/>
  <c r="X523" i="9" s="1"/>
  <c r="H119" i="26" s="1"/>
  <c r="U485" i="9"/>
  <c r="U492" i="9"/>
  <c r="U517" i="9" s="1"/>
  <c r="E113" i="26" s="1"/>
  <c r="O114" i="6"/>
  <c r="X830" i="9"/>
  <c r="X853" i="9" s="1"/>
  <c r="H177" i="26" s="1"/>
  <c r="M75" i="38"/>
  <c r="M19" i="38"/>
  <c r="X490" i="9"/>
  <c r="X515" i="9" s="1"/>
  <c r="H111" i="26" s="1"/>
  <c r="X836" i="9"/>
  <c r="X859" i="9" s="1"/>
  <c r="H183" i="26" s="1"/>
  <c r="E117" i="33"/>
  <c r="S47" i="38"/>
  <c r="K230" i="9"/>
  <c r="W918" i="9"/>
  <c r="O961" i="9" s="1"/>
  <c r="W492" i="9"/>
  <c r="P612" i="9"/>
  <c r="H144" i="28"/>
  <c r="X916" i="9"/>
  <c r="X939" i="9" s="1"/>
  <c r="H196" i="26" s="1"/>
  <c r="O966" i="9"/>
  <c r="G141" i="33" s="1"/>
  <c r="X839" i="9"/>
  <c r="X862" i="9" s="1"/>
  <c r="H186" i="26" s="1"/>
  <c r="X661" i="9"/>
  <c r="X684" i="9" s="1"/>
  <c r="H145" i="26" s="1"/>
  <c r="N14" i="27"/>
  <c r="T829" i="9"/>
  <c r="M795" i="9"/>
  <c r="U795" i="9" s="1"/>
  <c r="P698" i="9"/>
  <c r="X834" i="9"/>
  <c r="X857" i="9" s="1"/>
  <c r="H181" i="26" s="1"/>
  <c r="U223" i="9"/>
  <c r="U248" i="9" s="1"/>
  <c r="E60" i="26" s="1"/>
  <c r="X921" i="9"/>
  <c r="X944" i="9" s="1"/>
  <c r="H201" i="26" s="1"/>
  <c r="U692" i="9"/>
  <c r="E153" i="26" s="1"/>
  <c r="M712" i="9"/>
  <c r="B61" i="32"/>
  <c r="V666" i="9"/>
  <c r="V689" i="9" s="1"/>
  <c r="F150" i="26" s="1"/>
  <c r="O963" i="9"/>
  <c r="W963" i="9" s="1"/>
  <c r="L712" i="9"/>
  <c r="T712" i="9" s="1"/>
  <c r="V918" i="9"/>
  <c r="V941" i="9" s="1"/>
  <c r="F198" i="26" s="1"/>
  <c r="R912" i="9"/>
  <c r="W835" i="9"/>
  <c r="O875" i="9" s="1"/>
  <c r="O876" i="9" s="1"/>
  <c r="W520" i="9"/>
  <c r="G116" i="26" s="1"/>
  <c r="P110" i="6"/>
  <c r="F19" i="27"/>
  <c r="E116" i="33"/>
  <c r="S43" i="38"/>
  <c r="R13" i="38"/>
  <c r="R19" i="38" s="1"/>
  <c r="S42" i="38"/>
  <c r="R964" i="9"/>
  <c r="C115" i="33"/>
  <c r="G116" i="33"/>
  <c r="V835" i="9"/>
  <c r="V841" i="9" s="1"/>
  <c r="X670" i="9"/>
  <c r="X693" i="9" s="1"/>
  <c r="H154" i="26" s="1"/>
  <c r="AC84" i="6"/>
  <c r="E118" i="33"/>
  <c r="P595" i="9"/>
  <c r="H84" i="32" s="1"/>
  <c r="U912" i="9"/>
  <c r="U935" i="9" s="1"/>
  <c r="E192" i="26" s="1"/>
  <c r="X915" i="9"/>
  <c r="X938" i="9" s="1"/>
  <c r="H195" i="26" s="1"/>
  <c r="R777" i="9"/>
  <c r="B169" i="26" s="1"/>
  <c r="N741" i="9"/>
  <c r="R938" i="9"/>
  <c r="B195" i="26" s="1"/>
  <c r="X838" i="9"/>
  <c r="X861" i="9" s="1"/>
  <c r="H185" i="26" s="1"/>
  <c r="W779" i="9"/>
  <c r="G171" i="26" s="1"/>
  <c r="O799" i="9"/>
  <c r="J842" i="9"/>
  <c r="U745" i="9"/>
  <c r="S924" i="9"/>
  <c r="S928" i="9" s="1"/>
  <c r="AQ564" i="9"/>
  <c r="H132" i="34" s="1"/>
  <c r="H132" i="28"/>
  <c r="AK824" i="9"/>
  <c r="B188" i="34" s="1"/>
  <c r="J741" i="9"/>
  <c r="E60" i="28"/>
  <c r="U829" i="9"/>
  <c r="U852" i="9" s="1"/>
  <c r="E176" i="26" s="1"/>
  <c r="P1001" i="9"/>
  <c r="O965" i="9"/>
  <c r="W965" i="9" s="1"/>
  <c r="G100" i="28"/>
  <c r="O408" i="9"/>
  <c r="S587" i="9"/>
  <c r="S610" i="9" s="1"/>
  <c r="C138" i="26" s="1"/>
  <c r="W745" i="9"/>
  <c r="W768" i="9" s="1"/>
  <c r="G160" i="26" s="1"/>
  <c r="J673" i="9"/>
  <c r="K741" i="9"/>
  <c r="L741" i="9"/>
  <c r="X833" i="9"/>
  <c r="X856" i="9" s="1"/>
  <c r="H180" i="26" s="1"/>
  <c r="M414" i="9"/>
  <c r="M741" i="9"/>
  <c r="X393" i="9"/>
  <c r="W777" i="9"/>
  <c r="G169" i="26" s="1"/>
  <c r="O797" i="9"/>
  <c r="Z85" i="6"/>
  <c r="Q6" i="27" s="1"/>
  <c r="W6" i="36" s="1"/>
  <c r="W35" i="36" s="1"/>
  <c r="W85" i="6"/>
  <c r="N6" i="27" s="1"/>
  <c r="Y112" i="6"/>
  <c r="X112" i="6"/>
  <c r="F7" i="27"/>
  <c r="K43" i="38"/>
  <c r="U110" i="6"/>
  <c r="T110" i="6"/>
  <c r="S110" i="6"/>
  <c r="H150" i="28"/>
  <c r="V751" i="9"/>
  <c r="V774" i="9" s="1"/>
  <c r="F166" i="26" s="1"/>
  <c r="U149" i="9"/>
  <c r="E33" i="26" s="1"/>
  <c r="U425" i="9"/>
  <c r="E93" i="26" s="1"/>
  <c r="R666" i="9"/>
  <c r="N88" i="6"/>
  <c r="E20" i="27" s="1"/>
  <c r="S48" i="38"/>
  <c r="O88" i="6"/>
  <c r="S23" i="38"/>
  <c r="X665" i="9"/>
  <c r="X688" i="9" s="1"/>
  <c r="H149" i="26" s="1"/>
  <c r="R660" i="9"/>
  <c r="R683" i="9" s="1"/>
  <c r="B144" i="26" s="1"/>
  <c r="W829" i="9"/>
  <c r="W852" i="9" s="1"/>
  <c r="G176" i="26" s="1"/>
  <c r="X664" i="9"/>
  <c r="X687" i="9" s="1"/>
  <c r="H148" i="26" s="1"/>
  <c r="P675" i="9"/>
  <c r="P677" i="9" s="1"/>
  <c r="V100" i="6" s="1"/>
  <c r="V103" i="6" s="1"/>
  <c r="P14" i="27"/>
  <c r="AK296" i="9"/>
  <c r="B80" i="34" s="1"/>
  <c r="K75" i="38"/>
  <c r="K19" i="38"/>
  <c r="W853" i="9"/>
  <c r="G177" i="26" s="1"/>
  <c r="R692" i="9"/>
  <c r="B153" i="26" s="1"/>
  <c r="S17" i="38"/>
  <c r="S76" i="38" s="1"/>
  <c r="V684" i="9"/>
  <c r="F145" i="26" s="1"/>
  <c r="P680" i="9"/>
  <c r="H95" i="32" s="1"/>
  <c r="R918" i="9"/>
  <c r="J961" i="9" s="1"/>
  <c r="X7" i="36"/>
  <c r="S113" i="6"/>
  <c r="O115" i="6"/>
  <c r="S74" i="38"/>
  <c r="Q113" i="6"/>
  <c r="M965" i="9"/>
  <c r="U965" i="9" s="1"/>
  <c r="AM480" i="9"/>
  <c r="D120" i="34" s="1"/>
  <c r="V660" i="9"/>
  <c r="AQ678" i="9"/>
  <c r="R942" i="9"/>
  <c r="B199" i="26" s="1"/>
  <c r="X489" i="9"/>
  <c r="X514" i="9" s="1"/>
  <c r="H110" i="26" s="1"/>
  <c r="X671" i="9"/>
  <c r="X694" i="9" s="1"/>
  <c r="H155" i="26" s="1"/>
  <c r="T106" i="6"/>
  <c r="U115" i="6" s="1"/>
  <c r="S41" i="38"/>
  <c r="B137" i="33"/>
  <c r="X668" i="9"/>
  <c r="X691" i="9" s="1"/>
  <c r="H152" i="26" s="1"/>
  <c r="W485" i="9"/>
  <c r="X663" i="9"/>
  <c r="X686" i="9" s="1"/>
  <c r="H147" i="26" s="1"/>
  <c r="X919" i="9"/>
  <c r="X942" i="9" s="1"/>
  <c r="H199" i="26" s="1"/>
  <c r="W315" i="9"/>
  <c r="W340" i="9" s="1"/>
  <c r="G80" i="26" s="1"/>
  <c r="J711" i="9"/>
  <c r="B105" i="33" s="1"/>
  <c r="X914" i="9"/>
  <c r="X937" i="9" s="1"/>
  <c r="H194" i="26" s="1"/>
  <c r="E46" i="38"/>
  <c r="B141" i="33"/>
  <c r="T93" i="6"/>
  <c r="T85" i="6"/>
  <c r="K6" i="27" s="1"/>
  <c r="L14" i="38" s="1"/>
  <c r="L44" i="38" s="1"/>
  <c r="U407" i="9"/>
  <c r="U432" i="9" s="1"/>
  <c r="E100" i="26" s="1"/>
  <c r="G40" i="28"/>
  <c r="R691" i="9"/>
  <c r="B152" i="26" s="1"/>
  <c r="X923" i="9"/>
  <c r="X946" i="9" s="1"/>
  <c r="H203" i="26" s="1"/>
  <c r="S425" i="9"/>
  <c r="C93" i="26" s="1"/>
  <c r="X832" i="9"/>
  <c r="X855" i="9" s="1"/>
  <c r="H179" i="26" s="1"/>
  <c r="G42" i="38"/>
  <c r="M88" i="6"/>
  <c r="S44" i="38"/>
  <c r="AP112" i="9"/>
  <c r="G40" i="34" s="1"/>
  <c r="S407" i="9"/>
  <c r="S432" i="9" s="1"/>
  <c r="C100" i="26" s="1"/>
  <c r="R946" i="9"/>
  <c r="B203" i="26" s="1"/>
  <c r="P672" i="9"/>
  <c r="H156" i="28" s="1"/>
  <c r="M230" i="9"/>
  <c r="U660" i="9"/>
  <c r="U683" i="9" s="1"/>
  <c r="E144" i="26" s="1"/>
  <c r="U114" i="6"/>
  <c r="W861" i="9"/>
  <c r="G185" i="26" s="1"/>
  <c r="O881" i="9"/>
  <c r="D128" i="33"/>
  <c r="D140" i="33"/>
  <c r="M64" i="6"/>
  <c r="M65" i="6" s="1"/>
  <c r="M73" i="6" s="1"/>
  <c r="C106" i="33"/>
  <c r="C108" i="33"/>
  <c r="U714" i="9"/>
  <c r="U710" i="9"/>
  <c r="Z112" i="6"/>
  <c r="X85" i="6"/>
  <c r="O6" i="27" s="1"/>
  <c r="U6" i="36" s="1"/>
  <c r="K41" i="38"/>
  <c r="O414" i="9"/>
  <c r="G61" i="32"/>
  <c r="U693" i="9"/>
  <c r="E154" i="26" s="1"/>
  <c r="M713" i="9"/>
  <c r="W862" i="9"/>
  <c r="G186" i="26" s="1"/>
  <c r="O882" i="9"/>
  <c r="R963" i="9"/>
  <c r="M711" i="9"/>
  <c r="P697" i="9"/>
  <c r="M75" i="6"/>
  <c r="E129" i="33"/>
  <c r="E128" i="33"/>
  <c r="D129" i="33"/>
  <c r="R883" i="9"/>
  <c r="D130" i="33"/>
  <c r="D108" i="33"/>
  <c r="D18" i="27"/>
  <c r="M114" i="6"/>
  <c r="F18" i="27"/>
  <c r="C126" i="33"/>
  <c r="D139" i="33"/>
  <c r="P139" i="9"/>
  <c r="H25" i="32" s="1"/>
  <c r="M966" i="9"/>
  <c r="U966" i="9" s="1"/>
  <c r="R745" i="9"/>
  <c r="R768" i="9" s="1"/>
  <c r="B160" i="26" s="1"/>
  <c r="W879" i="9"/>
  <c r="R713" i="9"/>
  <c r="S149" i="9"/>
  <c r="C33" i="26" s="1"/>
  <c r="P95" i="9"/>
  <c r="N7" i="27"/>
  <c r="R880" i="9"/>
  <c r="T608" i="9"/>
  <c r="D136" i="26" s="1"/>
  <c r="E16" i="27"/>
  <c r="T34" i="4" s="1"/>
  <c r="O113" i="6"/>
  <c r="U879" i="9"/>
  <c r="B104" i="33"/>
  <c r="C117" i="33"/>
  <c r="R881" i="9"/>
  <c r="C127" i="33"/>
  <c r="E127" i="33"/>
  <c r="G118" i="33"/>
  <c r="Q110" i="6"/>
  <c r="R110" i="6"/>
  <c r="B127" i="33"/>
  <c r="B108" i="33"/>
  <c r="S882" i="9"/>
  <c r="H63" i="6"/>
  <c r="H66" i="6" s="1"/>
  <c r="E126" i="33"/>
  <c r="I90" i="6"/>
  <c r="R879" i="9"/>
  <c r="R882" i="9"/>
  <c r="D138" i="33"/>
  <c r="T710" i="9"/>
  <c r="L18" i="27"/>
  <c r="B107" i="33"/>
  <c r="J90" i="6"/>
  <c r="S333" i="9"/>
  <c r="C73" i="26" s="1"/>
  <c r="W425" i="9"/>
  <c r="G93" i="26" s="1"/>
  <c r="J230" i="9"/>
  <c r="U995" i="9"/>
  <c r="X922" i="9"/>
  <c r="X945" i="9" s="1"/>
  <c r="H202" i="26" s="1"/>
  <c r="L138" i="9"/>
  <c r="D25" i="32"/>
  <c r="M673" i="9"/>
  <c r="E156" i="28"/>
  <c r="W710" i="9"/>
  <c r="W964" i="9"/>
  <c r="N230" i="9"/>
  <c r="S315" i="9"/>
  <c r="S340" i="9" s="1"/>
  <c r="Q9" i="27"/>
  <c r="Q7" i="27" s="1"/>
  <c r="Z106" i="6"/>
  <c r="P341" i="9"/>
  <c r="N588" i="9"/>
  <c r="F138" i="28"/>
  <c r="AO570" i="9"/>
  <c r="F138" i="34" s="1"/>
  <c r="T149" i="9"/>
  <c r="D33" i="26" s="1"/>
  <c r="H85" i="6"/>
  <c r="H88" i="6" s="1"/>
  <c r="AQ128" i="9"/>
  <c r="P40" i="34" s="1"/>
  <c r="AO388" i="9"/>
  <c r="F100" i="34" s="1"/>
  <c r="V995" i="9"/>
  <c r="V1018" i="9" s="1"/>
  <c r="F100" i="28"/>
  <c r="X917" i="9"/>
  <c r="X940" i="9" s="1"/>
  <c r="H197" i="26" s="1"/>
  <c r="W912" i="9"/>
  <c r="W936" i="9"/>
  <c r="G193" i="26" s="1"/>
  <c r="S774" i="9"/>
  <c r="C166" i="26" s="1"/>
  <c r="K794" i="9"/>
  <c r="K791" i="9"/>
  <c r="K792" i="9" s="1"/>
  <c r="M588" i="9"/>
  <c r="E138" i="28"/>
  <c r="AN570" i="9"/>
  <c r="E138" i="34" s="1"/>
  <c r="B106" i="33"/>
  <c r="T131" i="9"/>
  <c r="W407" i="9"/>
  <c r="W411" i="9" s="1"/>
  <c r="L908" i="9"/>
  <c r="V131" i="9"/>
  <c r="V156" i="9" s="1"/>
  <c r="F40" i="26" s="1"/>
  <c r="W521" i="9"/>
  <c r="G117" i="26" s="1"/>
  <c r="L758" i="9"/>
  <c r="D172" i="28"/>
  <c r="T425" i="9"/>
  <c r="D93" i="26" s="1"/>
  <c r="T962" i="9"/>
  <c r="H106" i="28"/>
  <c r="P527" i="9"/>
  <c r="P503" i="9"/>
  <c r="B49" i="32"/>
  <c r="J322" i="9"/>
  <c r="O925" i="9"/>
  <c r="G204" i="28"/>
  <c r="AP907" i="9"/>
  <c r="G204" i="34" s="1"/>
  <c r="N673" i="9"/>
  <c r="F156" i="28"/>
  <c r="U608" i="9"/>
  <c r="E136" i="26" s="1"/>
  <c r="S88" i="6"/>
  <c r="J20" i="27" s="1"/>
  <c r="U918" i="9"/>
  <c r="M961" i="9" s="1"/>
  <c r="E136" i="33" s="1"/>
  <c r="X209" i="9"/>
  <c r="N925" i="9"/>
  <c r="F204" i="28"/>
  <c r="O758" i="9"/>
  <c r="G172" i="28"/>
  <c r="AP740" i="9"/>
  <c r="G172" i="34" s="1"/>
  <c r="P611" i="9"/>
  <c r="W106" i="6"/>
  <c r="N13" i="27" s="1"/>
  <c r="O500" i="9"/>
  <c r="G120" i="28"/>
  <c r="R965" i="9"/>
  <c r="N908" i="9"/>
  <c r="X400" i="9"/>
  <c r="X425" i="9" s="1"/>
  <c r="H93" i="26" s="1"/>
  <c r="V745" i="9"/>
  <c r="V1001" i="9"/>
  <c r="V1024" i="9" s="1"/>
  <c r="O9" i="27"/>
  <c r="O7" i="27" s="1"/>
  <c r="X106" i="6"/>
  <c r="M138" i="9"/>
  <c r="E25" i="32"/>
  <c r="G47" i="38"/>
  <c r="L88" i="6"/>
  <c r="C20" i="27" s="1"/>
  <c r="G45" i="38"/>
  <c r="G46" i="38"/>
  <c r="G44" i="38"/>
  <c r="G23" i="38"/>
  <c r="G48" i="38"/>
  <c r="G43" i="38"/>
  <c r="G17" i="38"/>
  <c r="G76" i="38" s="1"/>
  <c r="H75" i="38"/>
  <c r="H19" i="38"/>
  <c r="S45" i="38"/>
  <c r="X6" i="36"/>
  <c r="P94" i="6"/>
  <c r="F23" i="38"/>
  <c r="R113" i="6"/>
  <c r="R75" i="38"/>
  <c r="F45" i="38"/>
  <c r="K88" i="6"/>
  <c r="B20" i="27" s="1"/>
  <c r="F17" i="38"/>
  <c r="F76" i="38" s="1"/>
  <c r="G75" i="38"/>
  <c r="G19" i="38"/>
  <c r="U88" i="6"/>
  <c r="L20" i="27" s="1"/>
  <c r="O75" i="38"/>
  <c r="O19" i="38"/>
  <c r="F14" i="27"/>
  <c r="P112" i="6"/>
  <c r="I75" i="38"/>
  <c r="I19" i="38"/>
  <c r="E44" i="38"/>
  <c r="P16" i="27"/>
  <c r="AE34" i="4" s="1"/>
  <c r="G41" i="38"/>
  <c r="Q112" i="6"/>
  <c r="H14" i="27"/>
  <c r="R112" i="6"/>
  <c r="Y113" i="6"/>
  <c r="U65" i="37"/>
  <c r="U47" i="37"/>
  <c r="U27" i="37"/>
  <c r="J66" i="6"/>
  <c r="F44" i="38"/>
  <c r="F47" i="38"/>
  <c r="F42" i="38"/>
  <c r="F41" i="38"/>
  <c r="E47" i="38"/>
  <c r="F46" i="38"/>
  <c r="G127" i="33"/>
  <c r="J64" i="6"/>
  <c r="J65" i="6" s="1"/>
  <c r="J73" i="6" s="1"/>
  <c r="U75" i="6"/>
  <c r="D141" i="33"/>
  <c r="AG63" i="6"/>
  <c r="X582" i="9"/>
  <c r="X605" i="9" s="1"/>
  <c r="H133" i="26" s="1"/>
  <c r="X308" i="9"/>
  <c r="X333" i="9" s="1"/>
  <c r="H73" i="26" s="1"/>
  <c r="V315" i="9"/>
  <c r="V340" i="9" s="1"/>
  <c r="F80" i="26" s="1"/>
  <c r="B117" i="33"/>
  <c r="X418" i="9"/>
  <c r="H86" i="26" s="1"/>
  <c r="P231" i="9"/>
  <c r="H37" i="32" s="1"/>
  <c r="H30" i="32"/>
  <c r="P187" i="9"/>
  <c r="AQ213" i="9"/>
  <c r="P53" i="34" s="1"/>
  <c r="L925" i="9"/>
  <c r="D204" i="28"/>
  <c r="T156" i="9"/>
  <c r="D40" i="26" s="1"/>
  <c r="P409" i="9"/>
  <c r="P407" i="9"/>
  <c r="AQ388" i="9" s="1"/>
  <c r="H100" i="34" s="1"/>
  <c r="P411" i="9"/>
  <c r="H86" i="28"/>
  <c r="P435" i="9"/>
  <c r="AQ312" i="9"/>
  <c r="P80" i="34" s="1"/>
  <c r="L706" i="9"/>
  <c r="L707" i="9" s="1"/>
  <c r="K673" i="9"/>
  <c r="C156" i="28"/>
  <c r="AL655" i="9"/>
  <c r="C156" i="34" s="1"/>
  <c r="P927" i="9"/>
  <c r="H198" i="28"/>
  <c r="P949" i="9"/>
  <c r="R432" i="9"/>
  <c r="R510" i="9"/>
  <c r="B106" i="26" s="1"/>
  <c r="R499" i="9"/>
  <c r="T602" i="9"/>
  <c r="D130" i="26" s="1"/>
  <c r="X579" i="9"/>
  <c r="X602" i="9" s="1"/>
  <c r="H130" i="26" s="1"/>
  <c r="M842" i="9"/>
  <c r="E188" i="28"/>
  <c r="AN824" i="9"/>
  <c r="E188" i="34" s="1"/>
  <c r="AQ220" i="9"/>
  <c r="P60" i="34" s="1"/>
  <c r="U757" i="9"/>
  <c r="U768" i="9"/>
  <c r="E160" i="26" s="1"/>
  <c r="S858" i="9"/>
  <c r="C182" i="26" s="1"/>
  <c r="K875" i="9"/>
  <c r="K876" i="9" s="1"/>
  <c r="K878" i="9"/>
  <c r="AM907" i="9"/>
  <c r="D204" i="34" s="1"/>
  <c r="R156" i="9"/>
  <c r="W941" i="9"/>
  <c r="G198" i="26" s="1"/>
  <c r="O958" i="9"/>
  <c r="O959" i="9" s="1"/>
  <c r="K224" i="9"/>
  <c r="C60" i="28"/>
  <c r="AL204" i="9"/>
  <c r="C60" i="34" s="1"/>
  <c r="V581" i="9"/>
  <c r="V604" i="9" s="1"/>
  <c r="F132" i="26" s="1"/>
  <c r="K1007" i="9"/>
  <c r="K1008" i="9" s="1"/>
  <c r="K1013" i="9" s="1"/>
  <c r="R248" i="9"/>
  <c r="N316" i="9"/>
  <c r="F80" i="28"/>
  <c r="X577" i="9"/>
  <c r="X600" i="9" s="1"/>
  <c r="H128" i="26" s="1"/>
  <c r="P844" i="9"/>
  <c r="H182" i="28"/>
  <c r="AQ818" i="9"/>
  <c r="H182" i="34" s="1"/>
  <c r="P866" i="9"/>
  <c r="V234" i="9"/>
  <c r="F46" i="26" s="1"/>
  <c r="V223" i="9"/>
  <c r="V248" i="9" s="1"/>
  <c r="F60" i="26" s="1"/>
  <c r="S131" i="9"/>
  <c r="S142" i="9"/>
  <c r="C26" i="26" s="1"/>
  <c r="K842" i="9"/>
  <c r="C188" i="28"/>
  <c r="AL824" i="9"/>
  <c r="C188" i="34" s="1"/>
  <c r="T879" i="9"/>
  <c r="F48" i="38"/>
  <c r="L115" i="6"/>
  <c r="F74" i="38"/>
  <c r="U64" i="6"/>
  <c r="U67" i="6" s="1"/>
  <c r="S672" i="9"/>
  <c r="S683" i="9"/>
  <c r="C144" i="26" s="1"/>
  <c r="T778" i="9"/>
  <c r="D170" i="26" s="1"/>
  <c r="L798" i="9"/>
  <c r="T510" i="9"/>
  <c r="D106" i="26" s="1"/>
  <c r="U607" i="9"/>
  <c r="E135" i="26" s="1"/>
  <c r="P502" i="9"/>
  <c r="H113" i="28"/>
  <c r="P499" i="9"/>
  <c r="AQ480" i="9" s="1"/>
  <c r="H120" i="34" s="1"/>
  <c r="AQ473" i="9"/>
  <c r="H113" i="34" s="1"/>
  <c r="P526" i="9"/>
  <c r="T607" i="9"/>
  <c r="D135" i="26" s="1"/>
  <c r="S864" i="9"/>
  <c r="S845" i="9"/>
  <c r="V852" i="9"/>
  <c r="F176" i="26" s="1"/>
  <c r="P761" i="9"/>
  <c r="U99" i="6" s="1"/>
  <c r="U102" i="6" s="1"/>
  <c r="P757" i="9"/>
  <c r="AQ728" i="9"/>
  <c r="H160" i="34" s="1"/>
  <c r="H160" i="28"/>
  <c r="AQ757" i="9"/>
  <c r="P172" i="34" s="1"/>
  <c r="P783" i="9"/>
  <c r="R1021" i="9"/>
  <c r="X998" i="9"/>
  <c r="X1021" i="9" s="1"/>
  <c r="P932" i="9"/>
  <c r="T777" i="9"/>
  <c r="D169" i="26" s="1"/>
  <c r="L797" i="9"/>
  <c r="K506" i="9"/>
  <c r="C73" i="32"/>
  <c r="V98" i="6"/>
  <c r="V101" i="6" s="1"/>
  <c r="R751" i="9"/>
  <c r="R775" i="9"/>
  <c r="B167" i="26" s="1"/>
  <c r="X752" i="9"/>
  <c r="X775" i="9" s="1"/>
  <c r="H167" i="26" s="1"/>
  <c r="J795" i="9"/>
  <c r="AQ924" i="9"/>
  <c r="P204" i="34" s="1"/>
  <c r="J908" i="9"/>
  <c r="O908" i="9"/>
  <c r="R1019" i="9"/>
  <c r="X996" i="9"/>
  <c r="X1019" i="9" s="1"/>
  <c r="R995" i="9"/>
  <c r="X234" i="9"/>
  <c r="H46" i="26" s="1"/>
  <c r="P9" i="27"/>
  <c r="P7" i="27" s="1"/>
  <c r="Y106" i="6"/>
  <c r="Y85" i="6"/>
  <c r="P6" i="27" s="1"/>
  <c r="P433" i="9"/>
  <c r="W517" i="9"/>
  <c r="G113" i="26" s="1"/>
  <c r="U689" i="9"/>
  <c r="E150" i="26" s="1"/>
  <c r="M706" i="9"/>
  <c r="M707" i="9" s="1"/>
  <c r="M709" i="9"/>
  <c r="X754" i="9"/>
  <c r="X777" i="9" s="1"/>
  <c r="H169" i="26" s="1"/>
  <c r="R315" i="9"/>
  <c r="R326" i="9"/>
  <c r="B66" i="26" s="1"/>
  <c r="X301" i="9"/>
  <c r="U131" i="9"/>
  <c r="U142" i="9"/>
  <c r="E26" i="26" s="1"/>
  <c r="M500" i="9"/>
  <c r="E120" i="28"/>
  <c r="AN480" i="9"/>
  <c r="E120" i="34" s="1"/>
  <c r="P845" i="9"/>
  <c r="P99" i="6" s="1"/>
  <c r="P102" i="6" s="1"/>
  <c r="P841" i="9"/>
  <c r="AQ824" i="9" s="1"/>
  <c r="H188" i="34" s="1"/>
  <c r="H176" i="28"/>
  <c r="P867" i="9"/>
  <c r="T935" i="9"/>
  <c r="D192" i="26" s="1"/>
  <c r="T924" i="9"/>
  <c r="O76" i="35"/>
  <c r="O73" i="35"/>
  <c r="W98" i="6"/>
  <c r="W101" i="6" s="1"/>
  <c r="P592" i="9"/>
  <c r="W100" i="6" s="1"/>
  <c r="W103" i="6" s="1"/>
  <c r="J758" i="9"/>
  <c r="B172" i="28"/>
  <c r="R1028" i="9"/>
  <c r="X1005" i="9"/>
  <c r="X1028" i="9" s="1"/>
  <c r="AQ930" i="9"/>
  <c r="T745" i="9"/>
  <c r="T769" i="9"/>
  <c r="D161" i="26" s="1"/>
  <c r="X749" i="9"/>
  <c r="X772" i="9" s="1"/>
  <c r="H164" i="26" s="1"/>
  <c r="R772" i="9"/>
  <c r="B164" i="26" s="1"/>
  <c r="L1007" i="9"/>
  <c r="L1008" i="9" s="1"/>
  <c r="L1013" i="9" s="1"/>
  <c r="D37" i="32"/>
  <c r="L230" i="9"/>
  <c r="R604" i="9"/>
  <c r="B132" i="26" s="1"/>
  <c r="S757" i="9"/>
  <c r="S768" i="9"/>
  <c r="C160" i="26" s="1"/>
  <c r="X753" i="9"/>
  <c r="X776" i="9" s="1"/>
  <c r="H168" i="26" s="1"/>
  <c r="R776" i="9"/>
  <c r="B168" i="26" s="1"/>
  <c r="J796" i="9"/>
  <c r="R941" i="9"/>
  <c r="B198" i="26" s="1"/>
  <c r="S9" i="27"/>
  <c r="AB93" i="6"/>
  <c r="AB85" i="6"/>
  <c r="AB106" i="6"/>
  <c r="U241" i="9"/>
  <c r="E53" i="26" s="1"/>
  <c r="R1026" i="9"/>
  <c r="X1003" i="9"/>
  <c r="X1026" i="9" s="1"/>
  <c r="P135" i="9"/>
  <c r="P133" i="9"/>
  <c r="AQ98" i="9"/>
  <c r="H26" i="34" s="1"/>
  <c r="P159" i="9"/>
  <c r="P131" i="9"/>
  <c r="H26" i="28"/>
  <c r="X585" i="9"/>
  <c r="X608" i="9" s="1"/>
  <c r="H136" i="26" s="1"/>
  <c r="W598" i="9"/>
  <c r="G126" i="26" s="1"/>
  <c r="R773" i="9"/>
  <c r="B165" i="26" s="1"/>
  <c r="X750" i="9"/>
  <c r="X773" i="9" s="1"/>
  <c r="H165" i="26" s="1"/>
  <c r="U1025" i="9"/>
  <c r="U1001" i="9"/>
  <c r="U1024" i="9" s="1"/>
  <c r="V599" i="9"/>
  <c r="F127" i="26" s="1"/>
  <c r="V575" i="9"/>
  <c r="M506" i="9"/>
  <c r="E73" i="32"/>
  <c r="U606" i="9"/>
  <c r="E134" i="26" s="1"/>
  <c r="W774" i="9"/>
  <c r="G166" i="26" s="1"/>
  <c r="O794" i="9"/>
  <c r="O791" i="9"/>
  <c r="O792" i="9" s="1"/>
  <c r="P1007" i="9"/>
  <c r="P1008" i="9" s="1"/>
  <c r="P1013" i="9" s="1"/>
  <c r="X578" i="9"/>
  <c r="X601" i="9" s="1"/>
  <c r="H129" i="26" s="1"/>
  <c r="T683" i="9"/>
  <c r="D144" i="26" s="1"/>
  <c r="T599" i="9"/>
  <c r="D127" i="26" s="1"/>
  <c r="T575" i="9"/>
  <c r="T776" i="9"/>
  <c r="D168" i="26" s="1"/>
  <c r="L796" i="9"/>
  <c r="W248" i="9"/>
  <c r="G60" i="26" s="1"/>
  <c r="W227" i="9"/>
  <c r="U333" i="9"/>
  <c r="E73" i="26" s="1"/>
  <c r="R770" i="9"/>
  <c r="B162" i="26" s="1"/>
  <c r="X747" i="9"/>
  <c r="X770" i="9" s="1"/>
  <c r="H162" i="26" s="1"/>
  <c r="S947" i="9"/>
  <c r="AQ672" i="9"/>
  <c r="P156" i="34" s="1"/>
  <c r="T1019" i="9"/>
  <c r="T995" i="9"/>
  <c r="R1025" i="9"/>
  <c r="X1002" i="9"/>
  <c r="X1025" i="9" s="1"/>
  <c r="R1001" i="9"/>
  <c r="J132" i="9"/>
  <c r="B40" i="28"/>
  <c r="AK112" i="9"/>
  <c r="B40" i="34" s="1"/>
  <c r="W131" i="9"/>
  <c r="W142" i="9"/>
  <c r="G26" i="26" s="1"/>
  <c r="T223" i="9"/>
  <c r="T234" i="9"/>
  <c r="D46" i="26" s="1"/>
  <c r="M758" i="9"/>
  <c r="E172" i="28"/>
  <c r="J925" i="9"/>
  <c r="B204" i="28"/>
  <c r="AK907" i="9"/>
  <c r="B204" i="34" s="1"/>
  <c r="U599" i="9"/>
  <c r="E127" i="26" s="1"/>
  <c r="U575" i="9"/>
  <c r="L224" i="9"/>
  <c r="D60" i="28"/>
  <c r="AM204" i="9"/>
  <c r="D60" i="34" s="1"/>
  <c r="T605" i="9"/>
  <c r="D133" i="26" s="1"/>
  <c r="T581" i="9"/>
  <c r="R858" i="9"/>
  <c r="B182" i="26" s="1"/>
  <c r="J878" i="9"/>
  <c r="J875" i="9"/>
  <c r="J876" i="9" s="1"/>
  <c r="J76" i="35"/>
  <c r="J73" i="35"/>
  <c r="P227" i="9"/>
  <c r="P225" i="9"/>
  <c r="P223" i="9"/>
  <c r="H46" i="28"/>
  <c r="AQ190" i="9"/>
  <c r="H46" i="34" s="1"/>
  <c r="P251" i="9"/>
  <c r="AA98" i="6"/>
  <c r="AA101" i="6" s="1"/>
  <c r="P228" i="9"/>
  <c r="Q226" i="9"/>
  <c r="O706" i="9"/>
  <c r="O707" i="9" s="1"/>
  <c r="W689" i="9"/>
  <c r="G150" i="26" s="1"/>
  <c r="S241" i="9"/>
  <c r="C53" i="26" s="1"/>
  <c r="R779" i="9"/>
  <c r="B171" i="26" s="1"/>
  <c r="X756" i="9"/>
  <c r="X779" i="9" s="1"/>
  <c r="H171" i="26" s="1"/>
  <c r="J799" i="9"/>
  <c r="AQ496" i="9"/>
  <c r="P120" i="34" s="1"/>
  <c r="P462" i="9"/>
  <c r="R1020" i="9"/>
  <c r="X997" i="9"/>
  <c r="X1020" i="9" s="1"/>
  <c r="U774" i="9"/>
  <c r="E166" i="26" s="1"/>
  <c r="M794" i="9"/>
  <c r="M791" i="9"/>
  <c r="M792" i="9" s="1"/>
  <c r="T326" i="9"/>
  <c r="D66" i="26" s="1"/>
  <c r="T315" i="9"/>
  <c r="V407" i="9"/>
  <c r="V432" i="9" s="1"/>
  <c r="F100" i="26" s="1"/>
  <c r="V418" i="9"/>
  <c r="F86" i="26" s="1"/>
  <c r="N842" i="9"/>
  <c r="F188" i="28"/>
  <c r="AO824" i="9"/>
  <c r="F188" i="34" s="1"/>
  <c r="P928" i="9"/>
  <c r="K99" i="6" s="1"/>
  <c r="K102" i="6" s="1"/>
  <c r="P924" i="9"/>
  <c r="AQ907" i="9" s="1"/>
  <c r="H204" i="34" s="1"/>
  <c r="H192" i="28"/>
  <c r="AQ895" i="9"/>
  <c r="H192" i="34" s="1"/>
  <c r="P950" i="9"/>
  <c r="U605" i="9"/>
  <c r="E133" i="26" s="1"/>
  <c r="U581" i="9"/>
  <c r="R1027" i="9"/>
  <c r="X1004" i="9"/>
  <c r="X1027" i="9" s="1"/>
  <c r="S223" i="9"/>
  <c r="P318" i="9"/>
  <c r="H73" i="28"/>
  <c r="AQ289" i="9"/>
  <c r="H73" i="34" s="1"/>
  <c r="P342" i="9"/>
  <c r="W672" i="9"/>
  <c r="W683" i="9"/>
  <c r="G144" i="26" s="1"/>
  <c r="T609" i="9"/>
  <c r="D137" i="26" s="1"/>
  <c r="X586" i="9"/>
  <c r="X609" i="9" s="1"/>
  <c r="H137" i="26" s="1"/>
  <c r="AN740" i="9"/>
  <c r="E172" i="34" s="1"/>
  <c r="W432" i="9"/>
  <c r="G100" i="26" s="1"/>
  <c r="J588" i="9"/>
  <c r="B138" i="28"/>
  <c r="AK570" i="9"/>
  <c r="B138" i="34" s="1"/>
  <c r="T941" i="9"/>
  <c r="D198" i="26" s="1"/>
  <c r="L958" i="9"/>
  <c r="L959" i="9" s="1"/>
  <c r="L961" i="9"/>
  <c r="X216" i="9"/>
  <c r="X241" i="9" s="1"/>
  <c r="H53" i="26" s="1"/>
  <c r="T333" i="9"/>
  <c r="D73" i="26" s="1"/>
  <c r="K500" i="9"/>
  <c r="C120" i="28"/>
  <c r="AL480" i="9"/>
  <c r="C120" i="34" s="1"/>
  <c r="R778" i="9"/>
  <c r="B170" i="26" s="1"/>
  <c r="X755" i="9"/>
  <c r="X778" i="9" s="1"/>
  <c r="H170" i="26" s="1"/>
  <c r="J798" i="9"/>
  <c r="R1023" i="9"/>
  <c r="X1000" i="9"/>
  <c r="X1023" i="9" s="1"/>
  <c r="T76" i="35"/>
  <c r="T73" i="35"/>
  <c r="AQ901" i="9"/>
  <c r="H198" i="34" s="1"/>
  <c r="S689" i="9"/>
  <c r="C150" i="26" s="1"/>
  <c r="K706" i="9"/>
  <c r="K707" i="9" s="1"/>
  <c r="K709" i="9"/>
  <c r="R149" i="9"/>
  <c r="B33" i="26" s="1"/>
  <c r="X124" i="9"/>
  <c r="X149" i="9" s="1"/>
  <c r="H33" i="26" s="1"/>
  <c r="U510" i="9"/>
  <c r="E106" i="26" s="1"/>
  <c r="V499" i="9"/>
  <c r="V524" i="9" s="1"/>
  <c r="F120" i="26" s="1"/>
  <c r="V510" i="9"/>
  <c r="F106" i="26" s="1"/>
  <c r="X746" i="9"/>
  <c r="X769" i="9" s="1"/>
  <c r="H161" i="26" s="1"/>
  <c r="X580" i="9"/>
  <c r="X603" i="9" s="1"/>
  <c r="H131" i="26" s="1"/>
  <c r="X748" i="9"/>
  <c r="X771" i="9" s="1"/>
  <c r="H163" i="26" s="1"/>
  <c r="O588" i="9"/>
  <c r="G138" i="28"/>
  <c r="AP570" i="9"/>
  <c r="G138" i="34" s="1"/>
  <c r="R1022" i="9"/>
  <c r="X999" i="9"/>
  <c r="X1022" i="9" s="1"/>
  <c r="P410" i="9"/>
  <c r="H93" i="28"/>
  <c r="AQ381" i="9"/>
  <c r="H93" i="34" s="1"/>
  <c r="P434" i="9"/>
  <c r="S510" i="9"/>
  <c r="C106" i="26" s="1"/>
  <c r="S499" i="9"/>
  <c r="U609" i="9"/>
  <c r="E137" i="26" s="1"/>
  <c r="T858" i="9"/>
  <c r="D182" i="26" s="1"/>
  <c r="S1025" i="9"/>
  <c r="S1001" i="9"/>
  <c r="S1024" i="9" s="1"/>
  <c r="W510" i="9"/>
  <c r="G106" i="26" s="1"/>
  <c r="W499" i="9"/>
  <c r="X583" i="9"/>
  <c r="X606" i="9" s="1"/>
  <c r="H134" i="26" s="1"/>
  <c r="T852" i="9"/>
  <c r="D176" i="26" s="1"/>
  <c r="T751" i="9"/>
  <c r="T775" i="9"/>
  <c r="D167" i="26" s="1"/>
  <c r="L795" i="9"/>
  <c r="X576" i="9"/>
  <c r="X599" i="9" s="1"/>
  <c r="H127" i="26" s="1"/>
  <c r="P591" i="9"/>
  <c r="W99" i="6" s="1"/>
  <c r="W102" i="6" s="1"/>
  <c r="P587" i="9"/>
  <c r="H126" i="28"/>
  <c r="AQ558" i="9"/>
  <c r="H126" i="34" s="1"/>
  <c r="P613" i="9"/>
  <c r="U858" i="9"/>
  <c r="E182" i="26" s="1"/>
  <c r="M875" i="9"/>
  <c r="M876" i="9" s="1"/>
  <c r="M878" i="9"/>
  <c r="X117" i="9"/>
  <c r="P760" i="9"/>
  <c r="H166" i="28"/>
  <c r="AQ763" i="9"/>
  <c r="AQ734" i="9"/>
  <c r="H166" i="34" s="1"/>
  <c r="P765" i="9"/>
  <c r="H104" i="32" s="1"/>
  <c r="P782" i="9"/>
  <c r="W757" i="9"/>
  <c r="AQ841" i="9"/>
  <c r="P188" i="34" s="1"/>
  <c r="P808" i="9"/>
  <c r="W604" i="9"/>
  <c r="G132" i="26" s="1"/>
  <c r="X584" i="9"/>
  <c r="X607" i="9" s="1"/>
  <c r="H135" i="26" s="1"/>
  <c r="J408" i="9"/>
  <c r="B100" i="28"/>
  <c r="M925" i="9"/>
  <c r="E204" i="28"/>
  <c r="L132" i="9"/>
  <c r="D40" i="28"/>
  <c r="AM112" i="9"/>
  <c r="D40" i="34" s="1"/>
  <c r="U340" i="9"/>
  <c r="E80" i="26" s="1"/>
  <c r="L842" i="9"/>
  <c r="D188" i="28"/>
  <c r="AM824" i="9"/>
  <c r="D188" i="34" s="1"/>
  <c r="T1025" i="9"/>
  <c r="T1001" i="9"/>
  <c r="T1024" i="9" s="1"/>
  <c r="T779" i="9"/>
  <c r="D171" i="26" s="1"/>
  <c r="L799" i="9"/>
  <c r="P315" i="9"/>
  <c r="P319" i="9"/>
  <c r="P317" i="9"/>
  <c r="H66" i="28"/>
  <c r="P343" i="9"/>
  <c r="P134" i="9"/>
  <c r="H33" i="28"/>
  <c r="P158" i="9"/>
  <c r="P140" i="9"/>
  <c r="AQ105" i="9"/>
  <c r="H33" i="34" s="1"/>
  <c r="AQ404" i="9"/>
  <c r="P100" i="34" s="1"/>
  <c r="W858" i="9"/>
  <c r="G182" i="26" s="1"/>
  <c r="O878" i="9"/>
  <c r="R1029" i="9"/>
  <c r="X1006" i="9"/>
  <c r="X1029" i="9" s="1"/>
  <c r="T13" i="38"/>
  <c r="S1019" i="9"/>
  <c r="S995" i="9"/>
  <c r="Q75" i="38"/>
  <c r="Q19" i="38"/>
  <c r="L408" i="9"/>
  <c r="D100" i="28"/>
  <c r="K758" i="9"/>
  <c r="C172" i="28"/>
  <c r="AL740" i="9"/>
  <c r="C172" i="34" s="1"/>
  <c r="AO296" i="9"/>
  <c r="F80" i="34" s="1"/>
  <c r="O842" i="9"/>
  <c r="G188" i="28"/>
  <c r="K908" i="9"/>
  <c r="AF13" i="20"/>
  <c r="W711" i="9"/>
  <c r="G106" i="33"/>
  <c r="U962" i="9"/>
  <c r="AH13" i="20"/>
  <c r="E138" i="33"/>
  <c r="R119" i="6"/>
  <c r="AG13" i="20"/>
  <c r="D107" i="33"/>
  <c r="S119" i="6"/>
  <c r="Q119" i="6"/>
  <c r="G103" i="33"/>
  <c r="I63" i="6"/>
  <c r="I75" i="6" s="1"/>
  <c r="E64" i="6"/>
  <c r="E67" i="6" s="1"/>
  <c r="S881" i="9"/>
  <c r="C128" i="33"/>
  <c r="V40" i="6"/>
  <c r="V41" i="6"/>
  <c r="K48" i="38"/>
  <c r="L48" i="38"/>
  <c r="Y48" i="38" s="1"/>
  <c r="AC48" i="38" s="1"/>
  <c r="T58" i="6"/>
  <c r="U964" i="9"/>
  <c r="E139" i="33"/>
  <c r="P58" i="6"/>
  <c r="N58" i="6"/>
  <c r="K96" i="6"/>
  <c r="D85" i="6"/>
  <c r="D88" i="6" s="1"/>
  <c r="G85" i="6"/>
  <c r="G88" i="6" s="1"/>
  <c r="G64" i="6"/>
  <c r="G67" i="6" s="1"/>
  <c r="G75" i="6"/>
  <c r="E85" i="6"/>
  <c r="E88" i="6" s="1"/>
  <c r="V114" i="6"/>
  <c r="H14" i="38"/>
  <c r="J18" i="27"/>
  <c r="V115" i="6"/>
  <c r="M13" i="27"/>
  <c r="L114" i="6"/>
  <c r="F90" i="6"/>
  <c r="D74" i="38"/>
  <c r="D17" i="38"/>
  <c r="D76" i="38" s="1"/>
  <c r="D23" i="38"/>
  <c r="D48" i="38"/>
  <c r="D46" i="38"/>
  <c r="D45" i="38"/>
  <c r="D42" i="38"/>
  <c r="D47" i="38"/>
  <c r="D41" i="38"/>
  <c r="C14" i="38"/>
  <c r="P7" i="36"/>
  <c r="P6" i="36"/>
  <c r="T114" i="6"/>
  <c r="M115" i="6"/>
  <c r="D13" i="27"/>
  <c r="L74" i="38"/>
  <c r="L45" i="38"/>
  <c r="L41" i="38"/>
  <c r="Y41" i="38" s="1"/>
  <c r="AC41" i="38" s="1"/>
  <c r="L47" i="38"/>
  <c r="AH34" i="4"/>
  <c r="Q88" i="6"/>
  <c r="H20" i="27" s="1"/>
  <c r="Z76" i="35"/>
  <c r="Z73" i="35"/>
  <c r="I23" i="38"/>
  <c r="I74" i="38"/>
  <c r="I17" i="38"/>
  <c r="I76" i="38" s="1"/>
  <c r="I48" i="38"/>
  <c r="I46" i="38"/>
  <c r="I42" i="38"/>
  <c r="I47" i="38"/>
  <c r="I44" i="38"/>
  <c r="I45" i="38"/>
  <c r="I41" i="38"/>
  <c r="J17" i="38"/>
  <c r="J76" i="38" s="1"/>
  <c r="P115" i="6"/>
  <c r="G13" i="27"/>
  <c r="N115" i="6"/>
  <c r="E13" i="27"/>
  <c r="N14" i="38"/>
  <c r="S7" i="36"/>
  <c r="S6" i="36"/>
  <c r="I43" i="38"/>
  <c r="D44" i="38"/>
  <c r="M14" i="38"/>
  <c r="R6" i="36"/>
  <c r="K74" i="38"/>
  <c r="K17" i="38"/>
  <c r="K76" i="38" s="1"/>
  <c r="K23" i="38"/>
  <c r="K46" i="38"/>
  <c r="K47" i="38"/>
  <c r="K42" i="38"/>
  <c r="K45" i="38"/>
  <c r="K44" i="38"/>
  <c r="E74" i="38"/>
  <c r="E17" i="38"/>
  <c r="E76" i="38" s="1"/>
  <c r="E23" i="38"/>
  <c r="E43" i="38"/>
  <c r="E45" i="38"/>
  <c r="E41" i="38"/>
  <c r="E42" i="38"/>
  <c r="N138" i="9"/>
  <c r="AQ121" i="9"/>
  <c r="P33" i="34" s="1"/>
  <c r="U69" i="6"/>
  <c r="Q69" i="6"/>
  <c r="Q74" i="6" s="1"/>
  <c r="Q68" i="6"/>
  <c r="V119" i="6"/>
  <c r="V63" i="6"/>
  <c r="E69" i="6"/>
  <c r="Q73" i="6"/>
  <c r="F66" i="6"/>
  <c r="F75" i="6"/>
  <c r="F64" i="6"/>
  <c r="O119" i="6"/>
  <c r="O63" i="6"/>
  <c r="K119" i="6"/>
  <c r="K63" i="6"/>
  <c r="M119" i="6"/>
  <c r="U119" i="6"/>
  <c r="L119" i="6"/>
  <c r="L63" i="6"/>
  <c r="R69" i="6"/>
  <c r="R74" i="6" s="1"/>
  <c r="R76" i="6"/>
  <c r="R67" i="6"/>
  <c r="D66" i="6"/>
  <c r="D64" i="6"/>
  <c r="D67" i="6" s="1"/>
  <c r="S75" i="6"/>
  <c r="S66" i="6"/>
  <c r="S64" i="6"/>
  <c r="M69" i="6"/>
  <c r="M74" i="6" s="1"/>
  <c r="R65" i="6"/>
  <c r="G69" i="6"/>
  <c r="G74" i="6" s="1"/>
  <c r="R15" i="27"/>
  <c r="N111" i="6"/>
  <c r="E15" i="27"/>
  <c r="M111" i="6"/>
  <c r="D15" i="27"/>
  <c r="J15" i="27"/>
  <c r="O111" i="6"/>
  <c r="F15" i="27"/>
  <c r="R7" i="36"/>
  <c r="K15" i="27"/>
  <c r="T111" i="6"/>
  <c r="U111" i="6"/>
  <c r="L15" i="27"/>
  <c r="V90" i="6"/>
  <c r="V126" i="6"/>
  <c r="V118" i="6"/>
  <c r="V88" i="6"/>
  <c r="H15" i="27"/>
  <c r="C15" i="27"/>
  <c r="L111" i="6"/>
  <c r="G15" i="27"/>
  <c r="S114" i="6" l="1"/>
  <c r="Q114" i="6"/>
  <c r="U841" i="9"/>
  <c r="I13" i="27"/>
  <c r="R587" i="9"/>
  <c r="P673" i="9"/>
  <c r="R841" i="9"/>
  <c r="R864" i="9" s="1"/>
  <c r="P114" i="6"/>
  <c r="W587" i="9"/>
  <c r="L875" i="9"/>
  <c r="L876" i="9" s="1"/>
  <c r="R114" i="6"/>
  <c r="T841" i="9"/>
  <c r="R111" i="6"/>
  <c r="I15" i="27"/>
  <c r="E130" i="33"/>
  <c r="S961" i="9"/>
  <c r="L42" i="38"/>
  <c r="Y42" i="38" s="1"/>
  <c r="AC42" i="38" s="1"/>
  <c r="R598" i="9"/>
  <c r="B126" i="26" s="1"/>
  <c r="T517" i="9"/>
  <c r="D113" i="26" s="1"/>
  <c r="J46" i="38"/>
  <c r="E119" i="33"/>
  <c r="R88" i="6"/>
  <c r="I20" i="27" s="1"/>
  <c r="J47" i="38"/>
  <c r="L46" i="38"/>
  <c r="J74" i="38"/>
  <c r="J48" i="38"/>
  <c r="Q7" i="36"/>
  <c r="L43" i="38"/>
  <c r="J45" i="38"/>
  <c r="L23" i="38"/>
  <c r="J42" i="38"/>
  <c r="L17" i="38"/>
  <c r="L76" i="38" s="1"/>
  <c r="P88" i="6"/>
  <c r="G20" i="27" s="1"/>
  <c r="R672" i="9"/>
  <c r="J41" i="38"/>
  <c r="J43" i="38"/>
  <c r="J23" i="38"/>
  <c r="Q111" i="6"/>
  <c r="W319" i="9"/>
  <c r="W7" i="36"/>
  <c r="W36" i="36" s="1"/>
  <c r="T672" i="9"/>
  <c r="X829" i="9"/>
  <c r="R14" i="38"/>
  <c r="T689" i="9"/>
  <c r="R924" i="9"/>
  <c r="G108" i="33"/>
  <c r="J69" i="6"/>
  <c r="J74" i="6" s="1"/>
  <c r="G68" i="6"/>
  <c r="U68" i="6"/>
  <c r="AG68" i="6" s="1"/>
  <c r="E68" i="6"/>
  <c r="T711" i="9"/>
  <c r="R935" i="9"/>
  <c r="B192" i="26" s="1"/>
  <c r="W841" i="9"/>
  <c r="X485" i="9"/>
  <c r="X510" i="9" s="1"/>
  <c r="H106" i="26" s="1"/>
  <c r="V672" i="9"/>
  <c r="V695" i="9" s="1"/>
  <c r="F156" i="26" s="1"/>
  <c r="W795" i="9"/>
  <c r="AB111" i="6"/>
  <c r="W962" i="9"/>
  <c r="G138" i="33"/>
  <c r="D127" i="33"/>
  <c r="V683" i="9"/>
  <c r="F144" i="26" s="1"/>
  <c r="J958" i="9"/>
  <c r="J959" i="9" s="1"/>
  <c r="V858" i="9"/>
  <c r="F182" i="26" s="1"/>
  <c r="U924" i="9"/>
  <c r="X492" i="9"/>
  <c r="X517" i="9" s="1"/>
  <c r="H113" i="26" s="1"/>
  <c r="X835" i="9"/>
  <c r="X858" i="9" s="1"/>
  <c r="H182" i="26" s="1"/>
  <c r="X666" i="9"/>
  <c r="X689" i="9" s="1"/>
  <c r="H150" i="26" s="1"/>
  <c r="W713" i="9"/>
  <c r="G107" i="33"/>
  <c r="X912" i="9"/>
  <c r="X935" i="9" s="1"/>
  <c r="H192" i="26" s="1"/>
  <c r="M958" i="9"/>
  <c r="M959" i="9" s="1"/>
  <c r="U499" i="9"/>
  <c r="U524" i="9" s="1"/>
  <c r="E120" i="26" s="1"/>
  <c r="U941" i="9"/>
  <c r="T88" i="6"/>
  <c r="K20" i="27" s="1"/>
  <c r="G130" i="33"/>
  <c r="E115" i="33"/>
  <c r="W966" i="9"/>
  <c r="D106" i="33"/>
  <c r="U672" i="9"/>
  <c r="U676" i="9" s="1"/>
  <c r="X660" i="9"/>
  <c r="V924" i="9"/>
  <c r="V947" i="9" s="1"/>
  <c r="F204" i="26" s="1"/>
  <c r="X918" i="9"/>
  <c r="U712" i="9"/>
  <c r="E106" i="33"/>
  <c r="O109" i="6"/>
  <c r="Q44" i="9"/>
  <c r="AD100" i="6" s="1"/>
  <c r="T9" i="27"/>
  <c r="W115" i="6"/>
  <c r="G140" i="33"/>
  <c r="N109" i="6"/>
  <c r="AC85" i="6"/>
  <c r="T6" i="27" s="1"/>
  <c r="AC106" i="6"/>
  <c r="U1007" i="9"/>
  <c r="U1031" i="9" s="1"/>
  <c r="AQ655" i="9"/>
  <c r="H156" i="34" s="1"/>
  <c r="W799" i="9"/>
  <c r="G119" i="33"/>
  <c r="X407" i="9"/>
  <c r="X432" i="9" s="1"/>
  <c r="H100" i="26" s="1"/>
  <c r="W797" i="9"/>
  <c r="G117" i="33"/>
  <c r="V757" i="9"/>
  <c r="V780" i="9" s="1"/>
  <c r="F172" i="26" s="1"/>
  <c r="R797" i="9"/>
  <c r="O14" i="38"/>
  <c r="T7" i="36"/>
  <c r="T6" i="36"/>
  <c r="E140" i="33"/>
  <c r="M67" i="6"/>
  <c r="D20" i="27"/>
  <c r="F20" i="27"/>
  <c r="M76" i="6"/>
  <c r="X575" i="9"/>
  <c r="X598" i="9" s="1"/>
  <c r="H126" i="26" s="1"/>
  <c r="K13" i="27"/>
  <c r="T115" i="6"/>
  <c r="U1018" i="9"/>
  <c r="R711" i="9"/>
  <c r="W881" i="9"/>
  <c r="G128" i="33"/>
  <c r="R689" i="9"/>
  <c r="B150" i="26" s="1"/>
  <c r="J709" i="9"/>
  <c r="J706" i="9"/>
  <c r="J707" i="9" s="1"/>
  <c r="R966" i="9"/>
  <c r="R712" i="9"/>
  <c r="R962" i="9"/>
  <c r="AH27" i="1"/>
  <c r="AG27" i="1"/>
  <c r="AF27" i="1"/>
  <c r="G129" i="33"/>
  <c r="W882" i="9"/>
  <c r="P14" i="38"/>
  <c r="U7" i="36"/>
  <c r="E107" i="33"/>
  <c r="U713" i="9"/>
  <c r="U711" i="9"/>
  <c r="E105" i="33"/>
  <c r="E141" i="33"/>
  <c r="V1007" i="9"/>
  <c r="V1031" i="9" s="1"/>
  <c r="X745" i="9"/>
  <c r="X768" i="9" s="1"/>
  <c r="H160" i="26" s="1"/>
  <c r="H64" i="6"/>
  <c r="H76" i="6" s="1"/>
  <c r="R757" i="9"/>
  <c r="R780" i="9" s="1"/>
  <c r="V768" i="9"/>
  <c r="F160" i="26" s="1"/>
  <c r="H75" i="6"/>
  <c r="U65" i="6"/>
  <c r="U73" i="6" s="1"/>
  <c r="U76" i="6"/>
  <c r="M109" i="6"/>
  <c r="L109" i="6"/>
  <c r="X99" i="6"/>
  <c r="X102" i="6" s="1"/>
  <c r="Q503" i="9"/>
  <c r="Q13" i="27"/>
  <c r="AA115" i="6"/>
  <c r="W935" i="9"/>
  <c r="G192" i="26" s="1"/>
  <c r="W924" i="9"/>
  <c r="X115" i="6"/>
  <c r="O13" i="27"/>
  <c r="P229" i="9"/>
  <c r="C114" i="33"/>
  <c r="S794" i="9"/>
  <c r="S7" i="27"/>
  <c r="R46" i="38"/>
  <c r="R47" i="38"/>
  <c r="R44" i="38"/>
  <c r="R42" i="38"/>
  <c r="R43" i="38"/>
  <c r="R45" i="38"/>
  <c r="R74" i="38"/>
  <c r="R48" i="38"/>
  <c r="R41" i="38"/>
  <c r="R17" i="38"/>
  <c r="R76" i="38" s="1"/>
  <c r="R23" i="38"/>
  <c r="E70" i="6"/>
  <c r="J67" i="6"/>
  <c r="J76" i="6"/>
  <c r="AG64" i="6"/>
  <c r="I64" i="6"/>
  <c r="I65" i="6" s="1"/>
  <c r="I73" i="6" s="1"/>
  <c r="W780" i="9"/>
  <c r="G172" i="26" s="1"/>
  <c r="W761" i="9"/>
  <c r="C103" i="33"/>
  <c r="S709" i="9"/>
  <c r="T604" i="9"/>
  <c r="D132" i="26" s="1"/>
  <c r="R961" i="9"/>
  <c r="B136" i="33"/>
  <c r="T340" i="9"/>
  <c r="D80" i="26" s="1"/>
  <c r="P316" i="9"/>
  <c r="H80" i="28"/>
  <c r="T795" i="9"/>
  <c r="D115" i="33"/>
  <c r="R798" i="9"/>
  <c r="B118" i="33"/>
  <c r="W794" i="9"/>
  <c r="G114" i="33"/>
  <c r="V598" i="9"/>
  <c r="F126" i="26" s="1"/>
  <c r="V587" i="9"/>
  <c r="V610" i="9" s="1"/>
  <c r="F138" i="26" s="1"/>
  <c r="AB115" i="6"/>
  <c r="S13" i="27"/>
  <c r="R796" i="9"/>
  <c r="B116" i="33"/>
  <c r="P842" i="9"/>
  <c r="H188" i="28"/>
  <c r="X315" i="9"/>
  <c r="X340" i="9" s="1"/>
  <c r="H80" i="26" s="1"/>
  <c r="X326" i="9"/>
  <c r="H66" i="26" s="1"/>
  <c r="S695" i="9"/>
  <c r="S676" i="9"/>
  <c r="B60" i="26"/>
  <c r="P408" i="9"/>
  <c r="H100" i="28"/>
  <c r="T75" i="38"/>
  <c r="T19" i="38"/>
  <c r="U878" i="9"/>
  <c r="E125" i="33"/>
  <c r="S524" i="9"/>
  <c r="C120" i="26" s="1"/>
  <c r="U864" i="9"/>
  <c r="E188" i="26" s="1"/>
  <c r="U845" i="9"/>
  <c r="W695" i="9"/>
  <c r="G156" i="26" s="1"/>
  <c r="W676" i="9"/>
  <c r="R878" i="9"/>
  <c r="B125" i="33"/>
  <c r="R1024" i="9"/>
  <c r="X1001" i="9"/>
  <c r="X1024" i="9" s="1"/>
  <c r="C204" i="26"/>
  <c r="S949" i="9"/>
  <c r="C80" i="26"/>
  <c r="T598" i="9"/>
  <c r="D126" i="26" s="1"/>
  <c r="T587" i="9"/>
  <c r="AB99" i="6"/>
  <c r="AB102" i="6" s="1"/>
  <c r="Q135" i="9"/>
  <c r="S6" i="27"/>
  <c r="T768" i="9"/>
  <c r="D160" i="26" s="1"/>
  <c r="T757" i="9"/>
  <c r="P593" i="9"/>
  <c r="X223" i="9"/>
  <c r="X248" i="9" s="1"/>
  <c r="H60" i="26" s="1"/>
  <c r="R795" i="9"/>
  <c r="B115" i="33"/>
  <c r="T797" i="9"/>
  <c r="D117" i="33"/>
  <c r="C125" i="33"/>
  <c r="S878" i="9"/>
  <c r="D150" i="26"/>
  <c r="T709" i="9"/>
  <c r="Z99" i="6"/>
  <c r="Z102" i="6" s="1"/>
  <c r="Q319" i="9"/>
  <c r="R610" i="9"/>
  <c r="T774" i="9"/>
  <c r="D166" i="26" s="1"/>
  <c r="L791" i="9"/>
  <c r="L792" i="9" s="1"/>
  <c r="L794" i="9"/>
  <c r="U604" i="9"/>
  <c r="E132" i="26" s="1"/>
  <c r="U794" i="9"/>
  <c r="E114" i="33"/>
  <c r="U598" i="9"/>
  <c r="E126" i="26" s="1"/>
  <c r="U587" i="9"/>
  <c r="R340" i="9"/>
  <c r="R1007" i="9"/>
  <c r="R1018" i="9"/>
  <c r="X995" i="9"/>
  <c r="E198" i="26"/>
  <c r="U961" i="9"/>
  <c r="P758" i="9"/>
  <c r="H172" i="28"/>
  <c r="AQ740" i="9"/>
  <c r="H172" i="34" s="1"/>
  <c r="R947" i="9"/>
  <c r="R928" i="9"/>
  <c r="W961" i="9"/>
  <c r="G136" i="33"/>
  <c r="B100" i="26"/>
  <c r="G76" i="6"/>
  <c r="G125" i="33"/>
  <c r="W878" i="9"/>
  <c r="AB98" i="6"/>
  <c r="AB101" i="6" s="1"/>
  <c r="Q134" i="9"/>
  <c r="P136" i="9"/>
  <c r="P137" i="9" s="1"/>
  <c r="U98" i="6"/>
  <c r="U101" i="6" s="1"/>
  <c r="P762" i="9"/>
  <c r="U100" i="6" s="1"/>
  <c r="U103" i="6" s="1"/>
  <c r="T864" i="9"/>
  <c r="D188" i="26" s="1"/>
  <c r="T845" i="9"/>
  <c r="T878" i="9"/>
  <c r="D125" i="33"/>
  <c r="AA100" i="6"/>
  <c r="AA103" i="6" s="1"/>
  <c r="Q228" i="9"/>
  <c r="P224" i="9"/>
  <c r="H60" i="28"/>
  <c r="AQ204" i="9"/>
  <c r="H60" i="34" s="1"/>
  <c r="T248" i="9"/>
  <c r="D60" i="26" s="1"/>
  <c r="T524" i="9"/>
  <c r="D120" i="26" s="1"/>
  <c r="P846" i="9"/>
  <c r="P100" i="6" s="1"/>
  <c r="P103" i="6" s="1"/>
  <c r="P98" i="6"/>
  <c r="P101" i="6" s="1"/>
  <c r="Z98" i="6"/>
  <c r="Z101" i="6" s="1"/>
  <c r="P320" i="9"/>
  <c r="Q318" i="9"/>
  <c r="W156" i="9"/>
  <c r="G40" i="26" s="1"/>
  <c r="P132" i="9"/>
  <c r="H40" i="28"/>
  <c r="AQ112" i="9"/>
  <c r="H40" i="34" s="1"/>
  <c r="W864" i="9"/>
  <c r="G188" i="26" s="1"/>
  <c r="W845" i="9"/>
  <c r="S1007" i="9"/>
  <c r="S1018" i="9"/>
  <c r="D119" i="33"/>
  <c r="T799" i="9"/>
  <c r="X131" i="9"/>
  <c r="X156" i="9" s="1"/>
  <c r="H40" i="26" s="1"/>
  <c r="X142" i="9"/>
  <c r="H26" i="26" s="1"/>
  <c r="Y98" i="6"/>
  <c r="Y101" i="6" s="1"/>
  <c r="Q410" i="9"/>
  <c r="P412" i="9"/>
  <c r="T961" i="9"/>
  <c r="D136" i="33"/>
  <c r="W709" i="9"/>
  <c r="T1007" i="9"/>
  <c r="T1018" i="9"/>
  <c r="T695" i="9"/>
  <c r="D156" i="26" s="1"/>
  <c r="T676" i="9"/>
  <c r="S780" i="9"/>
  <c r="S761" i="9"/>
  <c r="T947" i="9"/>
  <c r="D204" i="26" s="1"/>
  <c r="T928" i="9"/>
  <c r="E103" i="33"/>
  <c r="U709" i="9"/>
  <c r="R774" i="9"/>
  <c r="B166" i="26" s="1"/>
  <c r="X751" i="9"/>
  <c r="X774" i="9" s="1"/>
  <c r="H166" i="26" s="1"/>
  <c r="J794" i="9"/>
  <c r="J791" i="9"/>
  <c r="J792" i="9" s="1"/>
  <c r="R695" i="9"/>
  <c r="R676" i="9"/>
  <c r="V864" i="9"/>
  <c r="F188" i="26" s="1"/>
  <c r="P500" i="9"/>
  <c r="H120" i="28"/>
  <c r="AQ296" i="9"/>
  <c r="H80" i="34" s="1"/>
  <c r="T798" i="9"/>
  <c r="D118" i="33"/>
  <c r="S156" i="9"/>
  <c r="U947" i="9"/>
  <c r="E204" i="26" s="1"/>
  <c r="U928" i="9"/>
  <c r="U780" i="9"/>
  <c r="E172" i="26" s="1"/>
  <c r="U761" i="9"/>
  <c r="K98" i="6"/>
  <c r="K101" i="6" s="1"/>
  <c r="P929" i="9"/>
  <c r="K100" i="6" s="1"/>
  <c r="K103" i="6" s="1"/>
  <c r="P588" i="9"/>
  <c r="H138" i="28"/>
  <c r="AQ570" i="9"/>
  <c r="H138" i="34" s="1"/>
  <c r="Q227" i="9"/>
  <c r="AA99" i="6"/>
  <c r="AA102" i="6" s="1"/>
  <c r="V7" i="36"/>
  <c r="V36" i="36" s="1"/>
  <c r="Q14" i="38"/>
  <c r="V6" i="36"/>
  <c r="V35" i="36" s="1"/>
  <c r="W524" i="9"/>
  <c r="G120" i="26" s="1"/>
  <c r="W503" i="9"/>
  <c r="X852" i="9"/>
  <c r="H176" i="26" s="1"/>
  <c r="S248" i="9"/>
  <c r="W610" i="9"/>
  <c r="G138" i="26" s="1"/>
  <c r="W591" i="9"/>
  <c r="U156" i="9"/>
  <c r="E40" i="26" s="1"/>
  <c r="Z115" i="6"/>
  <c r="Y115" i="6"/>
  <c r="P13" i="27"/>
  <c r="X98" i="6"/>
  <c r="X101" i="6" s="1"/>
  <c r="Q502" i="9"/>
  <c r="P504" i="9"/>
  <c r="R524" i="9"/>
  <c r="X683" i="9"/>
  <c r="H144" i="26" s="1"/>
  <c r="P925" i="9"/>
  <c r="H204" i="28"/>
  <c r="R799" i="9"/>
  <c r="B119" i="33"/>
  <c r="D116" i="33"/>
  <c r="T796" i="9"/>
  <c r="X941" i="9"/>
  <c r="H198" i="26" s="1"/>
  <c r="X581" i="9"/>
  <c r="X604" i="9" s="1"/>
  <c r="H132" i="26" s="1"/>
  <c r="C188" i="26"/>
  <c r="S866" i="9"/>
  <c r="B40" i="26"/>
  <c r="Y99" i="6"/>
  <c r="Y102" i="6" s="1"/>
  <c r="Q411" i="9"/>
  <c r="I66" i="6"/>
  <c r="G65" i="6"/>
  <c r="G73" i="6" s="1"/>
  <c r="E65" i="6"/>
  <c r="P61" i="6"/>
  <c r="P60" i="6"/>
  <c r="N61" i="6"/>
  <c r="N60" i="6"/>
  <c r="T61" i="6"/>
  <c r="T60" i="6"/>
  <c r="R70" i="6"/>
  <c r="R72" i="6" s="1"/>
  <c r="R68" i="6"/>
  <c r="C74" i="38"/>
  <c r="C17" i="38"/>
  <c r="C76" i="38" s="1"/>
  <c r="C23" i="38"/>
  <c r="C44" i="38"/>
  <c r="C45" i="38"/>
  <c r="C46" i="38"/>
  <c r="C47" i="38"/>
  <c r="C42" i="38"/>
  <c r="W42" i="38" s="1"/>
  <c r="AA42" i="38" s="1"/>
  <c r="C43" i="38"/>
  <c r="C48" i="38"/>
  <c r="W48" i="38" s="1"/>
  <c r="AA48" i="38" s="1"/>
  <c r="C41" i="38"/>
  <c r="W41" i="38" s="1"/>
  <c r="AA41" i="38" s="1"/>
  <c r="N17" i="38"/>
  <c r="N76" i="38" s="1"/>
  <c r="N23" i="38"/>
  <c r="N45" i="38"/>
  <c r="N74" i="38"/>
  <c r="N47" i="38"/>
  <c r="N48" i="38"/>
  <c r="N41" i="38"/>
  <c r="N46" i="38"/>
  <c r="N42" i="38"/>
  <c r="N44" i="38"/>
  <c r="N43" i="38"/>
  <c r="M74" i="38"/>
  <c r="M17" i="38"/>
  <c r="M76" i="38" s="1"/>
  <c r="M23" i="38"/>
  <c r="M43" i="38"/>
  <c r="M45" i="38"/>
  <c r="M41" i="38"/>
  <c r="M44" i="38"/>
  <c r="M46" i="38"/>
  <c r="M42" i="38"/>
  <c r="M47" i="38"/>
  <c r="M48" i="38"/>
  <c r="H23" i="38"/>
  <c r="H47" i="38"/>
  <c r="H74" i="38"/>
  <c r="H17" i="38"/>
  <c r="H76" i="38" s="1"/>
  <c r="H46" i="38"/>
  <c r="H41" i="38"/>
  <c r="X41" i="38" s="1"/>
  <c r="AB41" i="38" s="1"/>
  <c r="H44" i="38"/>
  <c r="H42" i="38"/>
  <c r="X42" i="38" s="1"/>
  <c r="AB42" i="38" s="1"/>
  <c r="H45" i="38"/>
  <c r="H43" i="38"/>
  <c r="H48" i="38"/>
  <c r="X48" i="38" s="1"/>
  <c r="AB48" i="38" s="1"/>
  <c r="S69" i="6"/>
  <c r="S74" i="6" s="1"/>
  <c r="M78" i="6"/>
  <c r="F69" i="6"/>
  <c r="F74" i="6" s="1"/>
  <c r="H69" i="6"/>
  <c r="H74" i="6" s="1"/>
  <c r="L75" i="6"/>
  <c r="L66" i="6"/>
  <c r="L64" i="6"/>
  <c r="K75" i="6"/>
  <c r="K66" i="6"/>
  <c r="K64" i="6"/>
  <c r="Q70" i="6"/>
  <c r="Q72" i="6" s="1"/>
  <c r="U74" i="6"/>
  <c r="U70" i="6"/>
  <c r="G70" i="6"/>
  <c r="D68" i="6"/>
  <c r="D69" i="6"/>
  <c r="D70" i="6" s="1"/>
  <c r="F67" i="6"/>
  <c r="F76" i="6"/>
  <c r="V66" i="6"/>
  <c r="V75" i="6"/>
  <c r="V64" i="6"/>
  <c r="S76" i="6"/>
  <c r="S67" i="6"/>
  <c r="S65" i="6"/>
  <c r="F65" i="6"/>
  <c r="F73" i="6" s="1"/>
  <c r="Q78" i="6"/>
  <c r="D65" i="6"/>
  <c r="R78" i="6"/>
  <c r="R73" i="6"/>
  <c r="O66" i="6"/>
  <c r="O75" i="6"/>
  <c r="O64" i="6"/>
  <c r="O65" i="6" s="1"/>
  <c r="M20" i="27"/>
  <c r="V109" i="6"/>
  <c r="V111" i="6"/>
  <c r="M15" i="27"/>
  <c r="R845" i="9" l="1"/>
  <c r="R743" i="9"/>
  <c r="Q109" i="6"/>
  <c r="P109" i="6"/>
  <c r="S109" i="6"/>
  <c r="U695" i="9"/>
  <c r="E156" i="26" s="1"/>
  <c r="R109" i="6"/>
  <c r="Z7" i="36"/>
  <c r="Z6" i="36"/>
  <c r="I69" i="6"/>
  <c r="I74" i="6" s="1"/>
  <c r="M68" i="6"/>
  <c r="F68" i="6"/>
  <c r="F78" i="6" s="1"/>
  <c r="J68" i="6"/>
  <c r="S68" i="6"/>
  <c r="X672" i="9"/>
  <c r="X695" i="9" s="1"/>
  <c r="H156" i="26" s="1"/>
  <c r="X924" i="9"/>
  <c r="X947" i="9" s="1"/>
  <c r="U109" i="6"/>
  <c r="T109" i="6"/>
  <c r="X841" i="9"/>
  <c r="X864" i="9" s="1"/>
  <c r="X499" i="9"/>
  <c r="X524" i="9" s="1"/>
  <c r="H120" i="26" s="1"/>
  <c r="R761" i="9"/>
  <c r="AC115" i="6"/>
  <c r="T13" i="27"/>
  <c r="T7" i="27"/>
  <c r="M70" i="6"/>
  <c r="M72" i="6" s="1"/>
  <c r="O48" i="38"/>
  <c r="O41" i="38"/>
  <c r="O17" i="38"/>
  <c r="O76" i="38" s="1"/>
  <c r="O74" i="38"/>
  <c r="O23" i="38"/>
  <c r="O47" i="38"/>
  <c r="O42" i="38"/>
  <c r="O44" i="38"/>
  <c r="O43" i="38"/>
  <c r="O46" i="38"/>
  <c r="O45" i="38"/>
  <c r="B103" i="33"/>
  <c r="R709" i="9"/>
  <c r="P47" i="38"/>
  <c r="P41" i="38"/>
  <c r="P74" i="38"/>
  <c r="P17" i="38"/>
  <c r="P76" i="38" s="1"/>
  <c r="P44" i="38"/>
  <c r="P43" i="38"/>
  <c r="P45" i="38"/>
  <c r="P48" i="38"/>
  <c r="P23" i="38"/>
  <c r="P46" i="38"/>
  <c r="P42" i="38"/>
  <c r="U78" i="6"/>
  <c r="J70" i="6"/>
  <c r="J72" i="6" s="1"/>
  <c r="H65" i="6"/>
  <c r="H73" i="6" s="1"/>
  <c r="H67" i="6"/>
  <c r="I67" i="6"/>
  <c r="I76" i="6"/>
  <c r="W947" i="9"/>
  <c r="G204" i="26" s="1"/>
  <c r="W928" i="9"/>
  <c r="X100" i="6"/>
  <c r="X103" i="6" s="1"/>
  <c r="Q504" i="9"/>
  <c r="Q74" i="38"/>
  <c r="Q46" i="38"/>
  <c r="Q43" i="38"/>
  <c r="Q17" i="38"/>
  <c r="Q76" i="38" s="1"/>
  <c r="Q45" i="38"/>
  <c r="Q42" i="38"/>
  <c r="Q23" i="38"/>
  <c r="Q47" i="38"/>
  <c r="Q48" i="38"/>
  <c r="Q41" i="38"/>
  <c r="Q44" i="38"/>
  <c r="B156" i="26"/>
  <c r="R697" i="9"/>
  <c r="X1018" i="9"/>
  <c r="X1007" i="9"/>
  <c r="B138" i="26"/>
  <c r="Y7" i="36"/>
  <c r="T14" i="38"/>
  <c r="U14" i="38"/>
  <c r="Y6" i="36"/>
  <c r="Z100" i="6"/>
  <c r="Z103" i="6" s="1"/>
  <c r="Q320" i="9"/>
  <c r="B188" i="26"/>
  <c r="R866" i="9"/>
  <c r="C156" i="26"/>
  <c r="S697" i="9"/>
  <c r="P505" i="9"/>
  <c r="R794" i="9"/>
  <c r="B114" i="33"/>
  <c r="C172" i="26"/>
  <c r="S782" i="9"/>
  <c r="T1031" i="9"/>
  <c r="T1009" i="9"/>
  <c r="B204" i="26"/>
  <c r="R949" i="9"/>
  <c r="R1031" i="9"/>
  <c r="R1009" i="9"/>
  <c r="B172" i="26"/>
  <c r="R782" i="9"/>
  <c r="Y100" i="6"/>
  <c r="Y103" i="6" s="1"/>
  <c r="Q412" i="9"/>
  <c r="P321" i="9"/>
  <c r="U610" i="9"/>
  <c r="E138" i="26" s="1"/>
  <c r="X587" i="9"/>
  <c r="X610" i="9" s="1"/>
  <c r="H138" i="26" s="1"/>
  <c r="S1031" i="9"/>
  <c r="S1009" i="9"/>
  <c r="B80" i="26"/>
  <c r="T794" i="9"/>
  <c r="D114" i="33"/>
  <c r="C60" i="26"/>
  <c r="C40" i="26"/>
  <c r="T780" i="9"/>
  <c r="D172" i="26" s="1"/>
  <c r="T761" i="9"/>
  <c r="T610" i="9"/>
  <c r="D138" i="26" s="1"/>
  <c r="B120" i="26"/>
  <c r="P413" i="9"/>
  <c r="AB100" i="6"/>
  <c r="AB103" i="6" s="1"/>
  <c r="Q136" i="9"/>
  <c r="AC103" i="6" s="1"/>
  <c r="X757" i="9"/>
  <c r="X780" i="9" s="1"/>
  <c r="H172" i="26" s="1"/>
  <c r="T63" i="6"/>
  <c r="T119" i="6"/>
  <c r="N63" i="6"/>
  <c r="N119" i="6"/>
  <c r="P119" i="6"/>
  <c r="P63" i="6"/>
  <c r="S70" i="6"/>
  <c r="S72" i="6" s="1"/>
  <c r="Z41" i="38"/>
  <c r="AD41" i="38" s="1"/>
  <c r="Z48" i="38"/>
  <c r="AD48" i="38" s="1"/>
  <c r="Z42" i="38"/>
  <c r="AD42" i="38" s="1"/>
  <c r="O73" i="6"/>
  <c r="AG70" i="6"/>
  <c r="U72" i="6"/>
  <c r="AJ70" i="6"/>
  <c r="K76" i="6"/>
  <c r="K67" i="6"/>
  <c r="V67" i="6"/>
  <c r="V76" i="6"/>
  <c r="K65" i="6"/>
  <c r="F70" i="6"/>
  <c r="G79" i="6" s="1"/>
  <c r="S78" i="6"/>
  <c r="S73" i="6"/>
  <c r="K69" i="6"/>
  <c r="K74" i="6" s="1"/>
  <c r="L67" i="6"/>
  <c r="L76" i="6"/>
  <c r="O69" i="6"/>
  <c r="O74" i="6" s="1"/>
  <c r="B75" i="6"/>
  <c r="C75" i="6"/>
  <c r="V65" i="6"/>
  <c r="L65" i="6"/>
  <c r="V69" i="6"/>
  <c r="V74" i="6" s="1"/>
  <c r="L69" i="6"/>
  <c r="L74" i="6" s="1"/>
  <c r="O76" i="6"/>
  <c r="O67" i="6"/>
  <c r="G72" i="6"/>
  <c r="G78" i="6" l="1"/>
  <c r="O68" i="6"/>
  <c r="I68" i="6"/>
  <c r="J78" i="6" s="1"/>
  <c r="K68" i="6"/>
  <c r="L68" i="6"/>
  <c r="H68" i="6"/>
  <c r="H78" i="6" s="1"/>
  <c r="V68" i="6"/>
  <c r="H70" i="6"/>
  <c r="H79" i="6" s="1"/>
  <c r="U44" i="38"/>
  <c r="U17" i="38"/>
  <c r="U76" i="38" s="1"/>
  <c r="U45" i="38"/>
  <c r="U43" i="38"/>
  <c r="U74" i="38"/>
  <c r="U42" i="38"/>
  <c r="U23" i="38"/>
  <c r="U46" i="38"/>
  <c r="U47" i="38"/>
  <c r="U41" i="38"/>
  <c r="U48" i="38"/>
  <c r="I70" i="6"/>
  <c r="I72" i="6" s="1"/>
  <c r="T44" i="38"/>
  <c r="T41" i="38"/>
  <c r="T74" i="38"/>
  <c r="T43" i="38"/>
  <c r="T42" i="38"/>
  <c r="T46" i="38"/>
  <c r="T45" i="38"/>
  <c r="T17" i="38"/>
  <c r="T76" i="38" s="1"/>
  <c r="T23" i="38"/>
  <c r="T48" i="38"/>
  <c r="T47" i="38"/>
  <c r="H188" i="26"/>
  <c r="X1031" i="9"/>
  <c r="H204" i="26"/>
  <c r="V70" i="6"/>
  <c r="V72" i="6" s="1"/>
  <c r="T75" i="6"/>
  <c r="T66" i="6"/>
  <c r="T64" i="6"/>
  <c r="N66" i="6"/>
  <c r="N75" i="6"/>
  <c r="N64" i="6"/>
  <c r="P66" i="6"/>
  <c r="P75" i="6"/>
  <c r="P64" i="6"/>
  <c r="L70" i="6"/>
  <c r="L72" i="6" s="1"/>
  <c r="O70" i="6"/>
  <c r="O72" i="6" s="1"/>
  <c r="F79" i="6"/>
  <c r="F72" i="6"/>
  <c r="C74" i="6"/>
  <c r="B74" i="6"/>
  <c r="C76" i="6"/>
  <c r="B76" i="6"/>
  <c r="O78" i="6"/>
  <c r="L78" i="6"/>
  <c r="L73" i="6"/>
  <c r="K70" i="6"/>
  <c r="K78" i="6"/>
  <c r="K73" i="6"/>
  <c r="V78" i="6"/>
  <c r="V73" i="6"/>
  <c r="I78" i="6" l="1"/>
  <c r="H72" i="6"/>
  <c r="J79" i="6"/>
  <c r="I79" i="6"/>
  <c r="B72" i="6"/>
  <c r="T69" i="6"/>
  <c r="T74" i="6" s="1"/>
  <c r="N65" i="6"/>
  <c r="N76" i="6"/>
  <c r="N67" i="6"/>
  <c r="P65" i="6"/>
  <c r="P76" i="6"/>
  <c r="P67" i="6"/>
  <c r="N69" i="6"/>
  <c r="N74" i="6" s="1"/>
  <c r="P69" i="6"/>
  <c r="P74" i="6" s="1"/>
  <c r="T65" i="6"/>
  <c r="T67" i="6"/>
  <c r="T76" i="6"/>
  <c r="C73" i="6"/>
  <c r="B73" i="6"/>
  <c r="K79" i="6"/>
  <c r="K72" i="6"/>
  <c r="C72" i="6" s="1"/>
  <c r="N68" i="6" l="1"/>
  <c r="P70" i="6"/>
  <c r="P72" i="6" s="1"/>
  <c r="T70" i="6"/>
  <c r="T72" i="6" s="1"/>
  <c r="P68" i="6"/>
  <c r="N70" i="6"/>
  <c r="N72" i="6" s="1"/>
  <c r="P73" i="6"/>
  <c r="P78" i="6"/>
  <c r="N73" i="6"/>
  <c r="N78" i="6"/>
  <c r="T78" i="6"/>
  <c r="T73" i="6"/>
  <c r="T68" i="6"/>
  <c r="B35" i="13" l="1"/>
  <c r="C35" i="13" l="1"/>
  <c r="M35" i="13" l="1"/>
  <c r="N35" i="13" l="1"/>
  <c r="D35" i="13"/>
  <c r="E35" i="13" l="1"/>
  <c r="Q35" i="13"/>
  <c r="F35" i="13" l="1"/>
  <c r="O35" i="13"/>
  <c r="R35" i="13" l="1"/>
  <c r="S35" i="13"/>
  <c r="G35" i="13"/>
  <c r="P35" i="13"/>
  <c r="H35" i="13" l="1"/>
  <c r="T35" i="13" l="1"/>
  <c r="I35" i="13"/>
  <c r="U35" i="13"/>
  <c r="J35" i="13" l="1"/>
  <c r="V35" i="13"/>
  <c r="K35" i="13" l="1"/>
  <c r="V1008" i="9"/>
  <c r="V1009" i="9" s="1"/>
  <c r="W35" i="13"/>
  <c r="X35" i="13" l="1"/>
  <c r="V1032" i="9"/>
  <c r="L35" i="13"/>
  <c r="Y35" i="13" l="1"/>
  <c r="Z35" i="13"/>
  <c r="AA35" i="13" l="1"/>
  <c r="AB35" i="13" l="1"/>
  <c r="V928" i="9" l="1"/>
  <c r="V845" i="9"/>
  <c r="V676" i="9"/>
  <c r="V761" i="9" l="1"/>
  <c r="B34" i="13" l="1"/>
  <c r="D34" i="13"/>
  <c r="B36" i="13" l="1"/>
  <c r="C36" i="13"/>
  <c r="C34" i="13"/>
  <c r="E34" i="13" l="1"/>
  <c r="G34" i="13"/>
  <c r="D36" i="13" l="1"/>
  <c r="F34" i="13"/>
  <c r="E36" i="13" l="1"/>
  <c r="H34" i="13"/>
  <c r="I34" i="13" l="1"/>
  <c r="F36" i="13"/>
  <c r="G36" i="13" l="1"/>
  <c r="U1008" i="9"/>
  <c r="U1009" i="9" s="1"/>
  <c r="J34" i="13"/>
  <c r="K34" i="13"/>
  <c r="U1032" i="9"/>
  <c r="H36" i="13" l="1"/>
  <c r="L34" i="13"/>
  <c r="I36" i="13" l="1"/>
  <c r="M34" i="13" l="1"/>
  <c r="J36" i="13"/>
  <c r="N34" i="13"/>
  <c r="P955" i="9" l="1"/>
  <c r="N958" i="9"/>
  <c r="N959" i="9" s="1"/>
  <c r="N956" i="9"/>
  <c r="N36" i="13"/>
  <c r="M36" i="13"/>
  <c r="X1008" i="9"/>
  <c r="X1009" i="9" s="1"/>
  <c r="K36" i="13"/>
  <c r="X1032" i="9"/>
  <c r="X1033" i="9" s="1"/>
  <c r="L36" i="13" l="1"/>
  <c r="O34" i="13"/>
  <c r="N965" i="9"/>
  <c r="N962" i="9"/>
  <c r="N964" i="9"/>
  <c r="N966" i="9"/>
  <c r="F143" i="33"/>
  <c r="N963" i="9"/>
  <c r="N961" i="9"/>
  <c r="P34" i="13"/>
  <c r="P956" i="9"/>
  <c r="P958" i="9"/>
  <c r="P959" i="9" s="1"/>
  <c r="V966" i="9" l="1"/>
  <c r="F141" i="33"/>
  <c r="V964" i="9"/>
  <c r="F139" i="33"/>
  <c r="O36" i="13"/>
  <c r="V962" i="9"/>
  <c r="F137" i="33"/>
  <c r="V965" i="9"/>
  <c r="F140" i="33"/>
  <c r="P961" i="9"/>
  <c r="P962" i="9"/>
  <c r="P963" i="9"/>
  <c r="P964" i="9"/>
  <c r="H143" i="33"/>
  <c r="P965" i="9"/>
  <c r="P966" i="9"/>
  <c r="F136" i="33"/>
  <c r="V961" i="9"/>
  <c r="P36" i="13"/>
  <c r="F138" i="33"/>
  <c r="V963" i="9"/>
  <c r="X965" i="9" l="1"/>
  <c r="H140" i="33"/>
  <c r="Q34" i="13"/>
  <c r="X964" i="9"/>
  <c r="H139" i="33"/>
  <c r="H138" i="33"/>
  <c r="X963" i="9"/>
  <c r="E20" i="38"/>
  <c r="E22" i="38" s="1"/>
  <c r="X928" i="9"/>
  <c r="X962" i="9"/>
  <c r="H137" i="33"/>
  <c r="H136" i="33"/>
  <c r="X961" i="9"/>
  <c r="X966" i="9"/>
  <c r="H141" i="33"/>
  <c r="X948" i="9"/>
  <c r="X949" i="9" s="1"/>
  <c r="R34" i="13" l="1"/>
  <c r="P5" i="36"/>
  <c r="C20" i="38"/>
  <c r="C22" i="38" s="1"/>
  <c r="S36" i="13"/>
  <c r="Q36" i="13"/>
  <c r="S34" i="13"/>
  <c r="D20" i="38"/>
  <c r="D22" i="38" s="1"/>
  <c r="B5" i="36" l="1"/>
  <c r="T34" i="13"/>
  <c r="N875" i="9"/>
  <c r="N876" i="9" s="1"/>
  <c r="N873" i="9"/>
  <c r="P872" i="9"/>
  <c r="P8" i="36"/>
  <c r="R36" i="13"/>
  <c r="B8" i="36"/>
  <c r="F20" i="38"/>
  <c r="F22" i="38" s="1"/>
  <c r="P873" i="9" l="1"/>
  <c r="P875" i="9"/>
  <c r="P876" i="9" s="1"/>
  <c r="F132" i="33"/>
  <c r="N879" i="9"/>
  <c r="N881" i="9"/>
  <c r="N878" i="9"/>
  <c r="N882" i="9"/>
  <c r="N880" i="9"/>
  <c r="N883" i="9"/>
  <c r="T36" i="13"/>
  <c r="F128" i="33" l="1"/>
  <c r="V881" i="9"/>
  <c r="V879" i="9"/>
  <c r="F126" i="33"/>
  <c r="P882" i="9"/>
  <c r="P881" i="9"/>
  <c r="P878" i="9"/>
  <c r="H132" i="33"/>
  <c r="P883" i="9"/>
  <c r="P880" i="9"/>
  <c r="P879" i="9"/>
  <c r="U34" i="13"/>
  <c r="G20" i="38"/>
  <c r="G22" i="38" s="1"/>
  <c r="F130" i="33"/>
  <c r="V883" i="9"/>
  <c r="I20" i="38"/>
  <c r="I22" i="38" s="1"/>
  <c r="F127" i="33"/>
  <c r="V880" i="9"/>
  <c r="F129" i="33"/>
  <c r="V882" i="9"/>
  <c r="V878" i="9"/>
  <c r="F125" i="33"/>
  <c r="V34" i="13" l="1"/>
  <c r="X881" i="9"/>
  <c r="H128" i="33"/>
  <c r="H129" i="33"/>
  <c r="X882" i="9"/>
  <c r="X845" i="9"/>
  <c r="X879" i="9"/>
  <c r="H126" i="33"/>
  <c r="U36" i="13"/>
  <c r="W36" i="13"/>
  <c r="X880" i="9"/>
  <c r="H127" i="33"/>
  <c r="H130" i="33"/>
  <c r="X883" i="9"/>
  <c r="X878" i="9"/>
  <c r="H125" i="33"/>
  <c r="X865" i="9"/>
  <c r="X866" i="9" s="1"/>
  <c r="V36" i="13" l="1"/>
  <c r="H20" i="38"/>
  <c r="H22" i="38" s="1"/>
  <c r="Q5" i="36"/>
  <c r="W34" i="13"/>
  <c r="C5" i="36" l="1"/>
  <c r="C8" i="36" s="1"/>
  <c r="N789" i="9"/>
  <c r="P788" i="9"/>
  <c r="N791" i="9"/>
  <c r="N792" i="9" s="1"/>
  <c r="J20" i="38"/>
  <c r="J22" i="38" s="1"/>
  <c r="Q8" i="36"/>
  <c r="X34" i="13"/>
  <c r="P789" i="9" l="1"/>
  <c r="P791" i="9"/>
  <c r="P792" i="9" s="1"/>
  <c r="F121" i="33"/>
  <c r="N797" i="9"/>
  <c r="N794" i="9"/>
  <c r="N798" i="9"/>
  <c r="N799" i="9"/>
  <c r="N796" i="9"/>
  <c r="N795" i="9"/>
  <c r="N706" i="9"/>
  <c r="N707" i="9" s="1"/>
  <c r="P703" i="9"/>
  <c r="N704" i="9"/>
  <c r="Y34" i="13"/>
  <c r="K20" i="38"/>
  <c r="K22" i="38" s="1"/>
  <c r="X36" i="13"/>
  <c r="F119" i="33" l="1"/>
  <c r="V799" i="9"/>
  <c r="N710" i="9"/>
  <c r="N712" i="9"/>
  <c r="F110" i="33"/>
  <c r="N709" i="9"/>
  <c r="N714" i="9"/>
  <c r="N713" i="9"/>
  <c r="N711" i="9"/>
  <c r="F118" i="33"/>
  <c r="V798" i="9"/>
  <c r="P706" i="9"/>
  <c r="P707" i="9" s="1"/>
  <c r="P704" i="9"/>
  <c r="F114" i="33"/>
  <c r="V794" i="9"/>
  <c r="V797" i="9"/>
  <c r="F117" i="33"/>
  <c r="P795" i="9"/>
  <c r="P794" i="9"/>
  <c r="P799" i="9"/>
  <c r="P797" i="9"/>
  <c r="P798" i="9"/>
  <c r="H121" i="33"/>
  <c r="P796" i="9"/>
  <c r="AA34" i="13"/>
  <c r="X761" i="9"/>
  <c r="Y36" i="13"/>
  <c r="V795" i="9"/>
  <c r="F115" i="33"/>
  <c r="L20" i="38"/>
  <c r="L22" i="38" s="1"/>
  <c r="Z34" i="13"/>
  <c r="V796" i="9"/>
  <c r="F116" i="33"/>
  <c r="X781" i="9"/>
  <c r="X782" i="9" s="1"/>
  <c r="H117" i="33" l="1"/>
  <c r="X797" i="9"/>
  <c r="P709" i="9"/>
  <c r="P714" i="9"/>
  <c r="P712" i="9"/>
  <c r="P711" i="9"/>
  <c r="P713" i="9"/>
  <c r="P710" i="9"/>
  <c r="H110" i="33"/>
  <c r="M20" i="38"/>
  <c r="M22" i="38" s="1"/>
  <c r="R5" i="36"/>
  <c r="H119" i="33"/>
  <c r="X799" i="9"/>
  <c r="V712" i="9"/>
  <c r="F106" i="33"/>
  <c r="AA36" i="13"/>
  <c r="X794" i="9"/>
  <c r="H114" i="33"/>
  <c r="F104" i="33"/>
  <c r="V710" i="9"/>
  <c r="X795" i="9"/>
  <c r="H115" i="33"/>
  <c r="V711" i="9"/>
  <c r="F105" i="33"/>
  <c r="X796" i="9"/>
  <c r="H116" i="33"/>
  <c r="F107" i="33"/>
  <c r="V713" i="9"/>
  <c r="V714" i="9"/>
  <c r="F108" i="33"/>
  <c r="Z36" i="13"/>
  <c r="X798" i="9"/>
  <c r="H118" i="33"/>
  <c r="V709" i="9"/>
  <c r="F103" i="33"/>
  <c r="D5" i="36" l="1"/>
  <c r="H104" i="33"/>
  <c r="X710" i="9"/>
  <c r="R8" i="36"/>
  <c r="X713" i="9"/>
  <c r="H107" i="33"/>
  <c r="X711" i="9"/>
  <c r="H105" i="33"/>
  <c r="H106" i="33"/>
  <c r="X712" i="9"/>
  <c r="X714" i="9"/>
  <c r="H108" i="33"/>
  <c r="X676" i="9"/>
  <c r="AB34" i="13"/>
  <c r="H103" i="33"/>
  <c r="X709" i="9"/>
  <c r="X696" i="9"/>
  <c r="X697" i="9" s="1"/>
  <c r="D8" i="36" l="1"/>
  <c r="S5" i="36"/>
  <c r="N20" i="38"/>
  <c r="N22" i="38" s="1"/>
  <c r="AB36" i="13"/>
  <c r="E5" i="36" l="1"/>
  <c r="S8" i="36"/>
  <c r="E8" i="36" l="1"/>
  <c r="AC43" i="6"/>
  <c r="AC46" i="6" l="1"/>
  <c r="AC93" i="6"/>
  <c r="AC126" i="6" l="1"/>
  <c r="AC118" i="6"/>
  <c r="AC41" i="6"/>
  <c r="AC90" i="6"/>
  <c r="AC94" i="6"/>
  <c r="AC111" i="6" l="1"/>
  <c r="T15" i="27"/>
  <c r="AK8" i="24" l="1"/>
  <c r="AK9" i="24"/>
  <c r="AK5" i="24"/>
  <c r="AC89" i="6" l="1"/>
  <c r="T19" i="27" s="1"/>
  <c r="AC105" i="6"/>
  <c r="AC40" i="6"/>
  <c r="AC88" i="6"/>
  <c r="AC51" i="6"/>
  <c r="AC52" i="6" s="1"/>
  <c r="AC36" i="6"/>
  <c r="AC37" i="6" s="1"/>
  <c r="T18" i="27" l="1"/>
  <c r="AC60" i="6"/>
  <c r="T20" i="27"/>
  <c r="AC119" i="6" l="1"/>
  <c r="AC63" i="6"/>
  <c r="AC66" i="6" l="1"/>
  <c r="AC75" i="6"/>
  <c r="AC64" i="6"/>
  <c r="AC69" i="6" l="1"/>
  <c r="AC74" i="6" s="1"/>
  <c r="W135" i="9"/>
  <c r="AC76" i="6"/>
  <c r="AC67" i="6"/>
  <c r="AC65" i="6"/>
  <c r="T227" i="9"/>
  <c r="S319" i="9"/>
  <c r="T319" i="9"/>
  <c r="S227" i="9"/>
  <c r="AC68" i="6" l="1"/>
  <c r="AA89" i="6"/>
  <c r="R19" i="27" s="1"/>
  <c r="AA40" i="6"/>
  <c r="AA105" i="6"/>
  <c r="AA88" i="6"/>
  <c r="S411" i="9"/>
  <c r="AB40" i="6"/>
  <c r="AB89" i="6"/>
  <c r="AB105" i="6"/>
  <c r="AB88" i="6"/>
  <c r="Z89" i="6"/>
  <c r="Z105" i="6"/>
  <c r="T591" i="9"/>
  <c r="T411" i="9"/>
  <c r="S503" i="9"/>
  <c r="Y51" i="6"/>
  <c r="Y52" i="6" s="1"/>
  <c r="Y36" i="6"/>
  <c r="Y37" i="6" s="1"/>
  <c r="AA51" i="6"/>
  <c r="AA52" i="6" s="1"/>
  <c r="AA36" i="6"/>
  <c r="AA37" i="6" s="1"/>
  <c r="X51" i="6"/>
  <c r="X52" i="6" s="1"/>
  <c r="X36" i="6"/>
  <c r="X37" i="6" s="1"/>
  <c r="S135" i="9"/>
  <c r="AC70" i="6"/>
  <c r="AC72" i="6" s="1"/>
  <c r="AB51" i="6"/>
  <c r="AB52" i="6" s="1"/>
  <c r="AB36" i="6"/>
  <c r="AB37" i="6" s="1"/>
  <c r="Z51" i="6"/>
  <c r="Z52" i="6" s="1"/>
  <c r="Z60" i="6" s="1"/>
  <c r="Z36" i="6"/>
  <c r="Z37" i="6" s="1"/>
  <c r="T503" i="9"/>
  <c r="AC78" i="6"/>
  <c r="AC73" i="6"/>
  <c r="AD32" i="13" l="1"/>
  <c r="AD33" i="13"/>
  <c r="AE32" i="13"/>
  <c r="AC33" i="13"/>
  <c r="X60" i="6"/>
  <c r="AA110" i="6"/>
  <c r="Q19" i="27"/>
  <c r="Z63" i="6"/>
  <c r="Z119" i="6"/>
  <c r="AA60" i="6"/>
  <c r="AB109" i="6"/>
  <c r="S20" i="27"/>
  <c r="AC109" i="6"/>
  <c r="R20" i="27"/>
  <c r="AB60" i="6"/>
  <c r="R18" i="27"/>
  <c r="AA114" i="6"/>
  <c r="Y60" i="6"/>
  <c r="AE33" i="13"/>
  <c r="S18" i="27"/>
  <c r="AB114" i="6"/>
  <c r="AC114" i="6"/>
  <c r="AC110" i="6"/>
  <c r="AB110" i="6"/>
  <c r="S19" i="27"/>
  <c r="W36" i="6"/>
  <c r="W37" i="6" s="1"/>
  <c r="W51" i="6"/>
  <c r="W52" i="6" s="1"/>
  <c r="Q18" i="27"/>
  <c r="AG33" i="13"/>
  <c r="S157" i="9"/>
  <c r="S158" i="9" s="1"/>
  <c r="AH32" i="13"/>
  <c r="S341" i="9"/>
  <c r="S342" i="9" s="1"/>
  <c r="AF32" i="13"/>
  <c r="AH33" i="13"/>
  <c r="S249" i="9"/>
  <c r="S250" i="9" s="1"/>
  <c r="AG32" i="13"/>
  <c r="AF33" i="13" l="1"/>
  <c r="S591" i="9"/>
  <c r="K258" i="9"/>
  <c r="K260" i="9"/>
  <c r="K261" i="9" s="1"/>
  <c r="Y119" i="6"/>
  <c r="AB119" i="6"/>
  <c r="AB63" i="6"/>
  <c r="Z64" i="6"/>
  <c r="Z65" i="6" s="1"/>
  <c r="Z66" i="6"/>
  <c r="Z75" i="6"/>
  <c r="W60" i="6"/>
  <c r="K350" i="9"/>
  <c r="K352" i="9"/>
  <c r="K353" i="9" s="1"/>
  <c r="K442" i="9"/>
  <c r="K444" i="9"/>
  <c r="K445" i="9" s="1"/>
  <c r="K166" i="9"/>
  <c r="K168" i="9"/>
  <c r="K169" i="9" s="1"/>
  <c r="AA119" i="6"/>
  <c r="AA63" i="6"/>
  <c r="K534" i="9"/>
  <c r="K536" i="9"/>
  <c r="K537" i="9" s="1"/>
  <c r="X119" i="6"/>
  <c r="AC32" i="13" l="1"/>
  <c r="K540" i="9"/>
  <c r="K541" i="9"/>
  <c r="C84" i="33"/>
  <c r="K544" i="9"/>
  <c r="K542" i="9"/>
  <c r="K545" i="9"/>
  <c r="K453" i="9"/>
  <c r="K543" i="9"/>
  <c r="K539" i="9"/>
  <c r="K358" i="9"/>
  <c r="K360" i="9"/>
  <c r="C56" i="33"/>
  <c r="K361" i="9"/>
  <c r="K357" i="9"/>
  <c r="K359" i="9"/>
  <c r="K356" i="9"/>
  <c r="K355" i="9"/>
  <c r="AB75" i="6"/>
  <c r="AB66" i="6"/>
  <c r="AB64" i="6"/>
  <c r="AA66" i="6"/>
  <c r="AA75" i="6"/>
  <c r="AA64" i="6"/>
  <c r="AA65" i="6" s="1"/>
  <c r="W119" i="6"/>
  <c r="K619" i="9"/>
  <c r="K621" i="9"/>
  <c r="K622" i="9" s="1"/>
  <c r="C28" i="33"/>
  <c r="K177" i="9"/>
  <c r="K171" i="9"/>
  <c r="K175" i="9"/>
  <c r="K173" i="9"/>
  <c r="K172" i="9"/>
  <c r="K174" i="9"/>
  <c r="K176" i="9"/>
  <c r="Z73" i="6"/>
  <c r="K265" i="9"/>
  <c r="K268" i="9"/>
  <c r="K266" i="9"/>
  <c r="K264" i="9"/>
  <c r="C42" i="33"/>
  <c r="K267" i="9"/>
  <c r="K269" i="9"/>
  <c r="K263" i="9"/>
  <c r="K451" i="9"/>
  <c r="K449" i="9"/>
  <c r="C70" i="33"/>
  <c r="K448" i="9"/>
  <c r="K452" i="9"/>
  <c r="K450" i="9"/>
  <c r="K447" i="9"/>
  <c r="Z69" i="6"/>
  <c r="Z76" i="6"/>
  <c r="Z67" i="6"/>
  <c r="Z68" i="6" l="1"/>
  <c r="Z70" i="6"/>
  <c r="C34" i="33"/>
  <c r="S263" i="9"/>
  <c r="C62" i="33"/>
  <c r="S447" i="9"/>
  <c r="S451" i="9"/>
  <c r="C66" i="33"/>
  <c r="C36" i="33"/>
  <c r="S265" i="9"/>
  <c r="S174" i="9"/>
  <c r="C23" i="33"/>
  <c r="K628" i="9"/>
  <c r="K626" i="9"/>
  <c r="K629" i="9"/>
  <c r="K625" i="9"/>
  <c r="K627" i="9"/>
  <c r="K624" i="9"/>
  <c r="C97" i="33"/>
  <c r="AA73" i="6"/>
  <c r="S356" i="9"/>
  <c r="C49" i="33"/>
  <c r="C80" i="33"/>
  <c r="S543" i="9"/>
  <c r="C52" i="33"/>
  <c r="S359" i="9"/>
  <c r="S453" i="9"/>
  <c r="C68" i="33"/>
  <c r="S269" i="9"/>
  <c r="C40" i="33"/>
  <c r="S173" i="9"/>
  <c r="C22" i="33"/>
  <c r="AA69" i="6"/>
  <c r="AA74" i="6" s="1"/>
  <c r="S357" i="9"/>
  <c r="C50" i="33"/>
  <c r="S545" i="9"/>
  <c r="C82" i="33"/>
  <c r="S450" i="9"/>
  <c r="C65" i="33"/>
  <c r="C24" i="33"/>
  <c r="S175" i="9"/>
  <c r="AB76" i="6"/>
  <c r="AB67" i="6"/>
  <c r="C54" i="33"/>
  <c r="S361" i="9"/>
  <c r="S542" i="9"/>
  <c r="C79" i="33"/>
  <c r="S267" i="9"/>
  <c r="C38" i="33"/>
  <c r="S452" i="9"/>
  <c r="C67" i="33"/>
  <c r="C20" i="33"/>
  <c r="S171" i="9"/>
  <c r="AB65" i="6"/>
  <c r="S544" i="9"/>
  <c r="C81" i="33"/>
  <c r="S448" i="9"/>
  <c r="C63" i="33"/>
  <c r="C35" i="33"/>
  <c r="S264" i="9"/>
  <c r="S177" i="9"/>
  <c r="C26" i="33"/>
  <c r="AB69" i="6"/>
  <c r="AB74" i="6" s="1"/>
  <c r="S360" i="9"/>
  <c r="C53" i="33"/>
  <c r="S266" i="9"/>
  <c r="C37" i="33"/>
  <c r="Z78" i="6"/>
  <c r="S358" i="9"/>
  <c r="C51" i="33"/>
  <c r="C78" i="33"/>
  <c r="S541" i="9"/>
  <c r="S172" i="9"/>
  <c r="C21" i="33"/>
  <c r="S449" i="9"/>
  <c r="C64" i="33"/>
  <c r="C39" i="33"/>
  <c r="S268" i="9"/>
  <c r="S176" i="9"/>
  <c r="C25" i="33"/>
  <c r="AA76" i="6"/>
  <c r="AA67" i="6"/>
  <c r="C48" i="33"/>
  <c r="S355" i="9"/>
  <c r="C76" i="33"/>
  <c r="S539" i="9"/>
  <c r="S540" i="9"/>
  <c r="C77" i="33"/>
  <c r="AB68" i="6" l="1"/>
  <c r="AA68" i="6"/>
  <c r="AA78" i="6"/>
  <c r="AB70" i="6"/>
  <c r="AB72" i="6" s="1"/>
  <c r="S628" i="9"/>
  <c r="C94" i="33"/>
  <c r="AB78" i="6"/>
  <c r="AB73" i="6"/>
  <c r="AA70" i="6"/>
  <c r="AA72" i="6" s="1"/>
  <c r="C90" i="33"/>
  <c r="S624" i="9"/>
  <c r="S627" i="9"/>
  <c r="C93" i="33"/>
  <c r="S625" i="9"/>
  <c r="C91" i="33"/>
  <c r="C92" i="33"/>
  <c r="S626" i="9"/>
  <c r="S629" i="9"/>
  <c r="C95" i="33"/>
  <c r="V591" i="9" l="1"/>
  <c r="V503" i="9" l="1"/>
  <c r="V411" i="9" l="1"/>
  <c r="V319" i="9" l="1"/>
  <c r="V227" i="9" l="1"/>
  <c r="AC35" i="13" l="1"/>
  <c r="AD35" i="13" l="1"/>
  <c r="AE35" i="13" l="1"/>
  <c r="AF35" i="13" l="1"/>
  <c r="V135" i="9" l="1"/>
  <c r="AG35" i="13"/>
  <c r="AH35" i="13" l="1"/>
  <c r="L619" i="9" l="1"/>
  <c r="L621" i="9"/>
  <c r="L622" i="9" s="1"/>
  <c r="L534" i="9" l="1"/>
  <c r="L536" i="9"/>
  <c r="L537" i="9" s="1"/>
  <c r="U591" i="9"/>
  <c r="O619" i="9"/>
  <c r="O621" i="9"/>
  <c r="O622" i="9" s="1"/>
  <c r="O534" i="9"/>
  <c r="O536" i="9"/>
  <c r="O537" i="9" s="1"/>
  <c r="D97" i="33"/>
  <c r="L626" i="9"/>
  <c r="L628" i="9"/>
  <c r="L629" i="9"/>
  <c r="L627" i="9"/>
  <c r="L625" i="9"/>
  <c r="L624" i="9"/>
  <c r="U503" i="9"/>
  <c r="T625" i="9" l="1"/>
  <c r="D91" i="33"/>
  <c r="T627" i="9"/>
  <c r="D93" i="33"/>
  <c r="G84" i="33"/>
  <c r="O453" i="9"/>
  <c r="O544" i="9"/>
  <c r="O541" i="9"/>
  <c r="O542" i="9"/>
  <c r="O543" i="9"/>
  <c r="O540" i="9"/>
  <c r="O545" i="9"/>
  <c r="O539" i="9"/>
  <c r="T629" i="9"/>
  <c r="D95" i="33"/>
  <c r="G97" i="33"/>
  <c r="O628" i="9"/>
  <c r="O627" i="9"/>
  <c r="O629" i="9"/>
  <c r="O626" i="9"/>
  <c r="O625" i="9"/>
  <c r="O624" i="9"/>
  <c r="R591" i="9"/>
  <c r="T628" i="9"/>
  <c r="D94" i="33"/>
  <c r="D92" i="33"/>
  <c r="T626" i="9"/>
  <c r="N621" i="9"/>
  <c r="N622" i="9" s="1"/>
  <c r="N619" i="9"/>
  <c r="M619" i="9"/>
  <c r="M621" i="9"/>
  <c r="M622" i="9" s="1"/>
  <c r="J619" i="9"/>
  <c r="J621" i="9"/>
  <c r="J622" i="9" s="1"/>
  <c r="P618" i="9"/>
  <c r="D90" i="33"/>
  <c r="T624" i="9"/>
  <c r="L442" i="9"/>
  <c r="L444" i="9"/>
  <c r="L445" i="9" s="1"/>
  <c r="D84" i="33"/>
  <c r="L544" i="9"/>
  <c r="L540" i="9"/>
  <c r="L542" i="9"/>
  <c r="L545" i="9"/>
  <c r="L543" i="9"/>
  <c r="L453" i="9"/>
  <c r="L541" i="9"/>
  <c r="L539" i="9"/>
  <c r="U411" i="9"/>
  <c r="AC31" i="13" l="1"/>
  <c r="G78" i="33"/>
  <c r="W541" i="9"/>
  <c r="T543" i="9"/>
  <c r="D80" i="33"/>
  <c r="W544" i="9"/>
  <c r="G81" i="33"/>
  <c r="T453" i="9"/>
  <c r="D68" i="33"/>
  <c r="R611" i="9"/>
  <c r="R612" i="9" s="1"/>
  <c r="T545" i="9"/>
  <c r="D82" i="33"/>
  <c r="G90" i="33"/>
  <c r="W624" i="9"/>
  <c r="W453" i="9"/>
  <c r="G68" i="33"/>
  <c r="N628" i="9"/>
  <c r="N624" i="9"/>
  <c r="N627" i="9"/>
  <c r="F97" i="33"/>
  <c r="N629" i="9"/>
  <c r="N625" i="9"/>
  <c r="N626" i="9"/>
  <c r="T542" i="9"/>
  <c r="D79" i="33"/>
  <c r="P619" i="9"/>
  <c r="P621" i="9"/>
  <c r="P622" i="9" s="1"/>
  <c r="W625" i="9"/>
  <c r="G91" i="33"/>
  <c r="W539" i="9"/>
  <c r="G76" i="33"/>
  <c r="N534" i="9"/>
  <c r="N536" i="9"/>
  <c r="N537" i="9" s="1"/>
  <c r="T540" i="9"/>
  <c r="D77" i="33"/>
  <c r="G92" i="33"/>
  <c r="W626" i="9"/>
  <c r="W545" i="9"/>
  <c r="G82" i="33"/>
  <c r="D70" i="33"/>
  <c r="L451" i="9"/>
  <c r="L448" i="9"/>
  <c r="L452" i="9"/>
  <c r="L450" i="9"/>
  <c r="L449" i="9"/>
  <c r="L447" i="9"/>
  <c r="O442" i="9"/>
  <c r="O444" i="9"/>
  <c r="O445" i="9" s="1"/>
  <c r="T544" i="9"/>
  <c r="D81" i="33"/>
  <c r="B97" i="33"/>
  <c r="J625" i="9"/>
  <c r="J626" i="9"/>
  <c r="J629" i="9"/>
  <c r="J628" i="9"/>
  <c r="J627" i="9"/>
  <c r="J624" i="9"/>
  <c r="W629" i="9"/>
  <c r="G95" i="33"/>
  <c r="G77" i="33"/>
  <c r="W540" i="9"/>
  <c r="M534" i="9"/>
  <c r="M536" i="9"/>
  <c r="M537" i="9" s="1"/>
  <c r="R503" i="9"/>
  <c r="W627" i="9"/>
  <c r="G93" i="33"/>
  <c r="G80" i="33"/>
  <c r="W543" i="9"/>
  <c r="L350" i="9"/>
  <c r="L352" i="9"/>
  <c r="L353" i="9" s="1"/>
  <c r="D76" i="33"/>
  <c r="T539" i="9"/>
  <c r="J534" i="9"/>
  <c r="J536" i="9"/>
  <c r="J537" i="9" s="1"/>
  <c r="P533" i="9"/>
  <c r="D78" i="33"/>
  <c r="T541" i="9"/>
  <c r="E97" i="33"/>
  <c r="M625" i="9"/>
  <c r="M629" i="9"/>
  <c r="M627" i="9"/>
  <c r="M628" i="9"/>
  <c r="M626" i="9"/>
  <c r="M624" i="9"/>
  <c r="W628" i="9"/>
  <c r="G94" i="33"/>
  <c r="W542" i="9"/>
  <c r="G79" i="33"/>
  <c r="R319" i="9"/>
  <c r="R525" i="9"/>
  <c r="R526" i="9" s="1"/>
  <c r="U319" i="9"/>
  <c r="AD31" i="13" l="1"/>
  <c r="T135" i="9"/>
  <c r="AC34" i="13"/>
  <c r="R411" i="9"/>
  <c r="R624" i="9"/>
  <c r="B90" i="33"/>
  <c r="T448" i="9"/>
  <c r="D63" i="33"/>
  <c r="P625" i="9"/>
  <c r="H97" i="33"/>
  <c r="P628" i="9"/>
  <c r="P627" i="9"/>
  <c r="P624" i="9"/>
  <c r="P629" i="9"/>
  <c r="P626" i="9"/>
  <c r="V624" i="9"/>
  <c r="F90" i="33"/>
  <c r="U624" i="9"/>
  <c r="E90" i="33"/>
  <c r="R627" i="9"/>
  <c r="B93" i="33"/>
  <c r="T451" i="9"/>
  <c r="D66" i="33"/>
  <c r="V628" i="9"/>
  <c r="F94" i="33"/>
  <c r="T452" i="9"/>
  <c r="D67" i="33"/>
  <c r="U626" i="9"/>
  <c r="E92" i="33"/>
  <c r="P536" i="9"/>
  <c r="P537" i="9" s="1"/>
  <c r="P534" i="9"/>
  <c r="D56" i="33"/>
  <c r="L358" i="9"/>
  <c r="L359" i="9"/>
  <c r="L361" i="9"/>
  <c r="L357" i="9"/>
  <c r="L356" i="9"/>
  <c r="L360" i="9"/>
  <c r="L355" i="9"/>
  <c r="R628" i="9"/>
  <c r="B94" i="33"/>
  <c r="G70" i="33"/>
  <c r="O449" i="9"/>
  <c r="O450" i="9"/>
  <c r="O448" i="9"/>
  <c r="O452" i="9"/>
  <c r="O451" i="9"/>
  <c r="O447" i="9"/>
  <c r="N539" i="9"/>
  <c r="N544" i="9"/>
  <c r="N543" i="9"/>
  <c r="N540" i="9"/>
  <c r="N453" i="9"/>
  <c r="N542" i="9"/>
  <c r="F84" i="33"/>
  <c r="N545" i="9"/>
  <c r="N541" i="9"/>
  <c r="V627" i="9"/>
  <c r="F93" i="33"/>
  <c r="O350" i="9"/>
  <c r="O352" i="9"/>
  <c r="O353" i="9" s="1"/>
  <c r="U628" i="9"/>
  <c r="E94" i="33"/>
  <c r="E84" i="33"/>
  <c r="M540" i="9"/>
  <c r="M545" i="9"/>
  <c r="M453" i="9"/>
  <c r="M543" i="9"/>
  <c r="M544" i="9"/>
  <c r="M542" i="9"/>
  <c r="M541" i="9"/>
  <c r="M539" i="9"/>
  <c r="R629" i="9"/>
  <c r="B95" i="33"/>
  <c r="V626" i="9"/>
  <c r="F92" i="33"/>
  <c r="L258" i="9"/>
  <c r="L260" i="9"/>
  <c r="L261" i="9" s="1"/>
  <c r="J442" i="9"/>
  <c r="J444" i="9"/>
  <c r="J445" i="9" s="1"/>
  <c r="X591" i="9"/>
  <c r="U627" i="9"/>
  <c r="E93" i="33"/>
  <c r="J354" i="9"/>
  <c r="J542" i="9"/>
  <c r="J262" i="9"/>
  <c r="J170" i="9"/>
  <c r="B84" i="33"/>
  <c r="J446" i="9"/>
  <c r="J78" i="9"/>
  <c r="J453" i="9"/>
  <c r="J544" i="9"/>
  <c r="J538" i="9"/>
  <c r="J543" i="9"/>
  <c r="J545" i="9"/>
  <c r="J540" i="9"/>
  <c r="J539" i="9"/>
  <c r="J541" i="9"/>
  <c r="B92" i="33"/>
  <c r="R626" i="9"/>
  <c r="T447" i="9"/>
  <c r="D62" i="33"/>
  <c r="F91" i="33"/>
  <c r="V625" i="9"/>
  <c r="N444" i="9"/>
  <c r="N445" i="9" s="1"/>
  <c r="N442" i="9"/>
  <c r="E95" i="33"/>
  <c r="U629" i="9"/>
  <c r="R625" i="9"/>
  <c r="B91" i="33"/>
  <c r="T449" i="9"/>
  <c r="D64" i="33"/>
  <c r="V629" i="9"/>
  <c r="F95" i="33"/>
  <c r="U625" i="9"/>
  <c r="E91" i="33"/>
  <c r="D65" i="33"/>
  <c r="T450" i="9"/>
  <c r="R227" i="9"/>
  <c r="R433" i="9"/>
  <c r="R434" i="9" s="1"/>
  <c r="U227" i="9"/>
  <c r="AD34" i="13" l="1"/>
  <c r="X503" i="9"/>
  <c r="R544" i="9"/>
  <c r="B81" i="33"/>
  <c r="B70" i="33"/>
  <c r="J449" i="9"/>
  <c r="J450" i="9"/>
  <c r="J448" i="9"/>
  <c r="J452" i="9"/>
  <c r="J451" i="9"/>
  <c r="J447" i="9"/>
  <c r="U541" i="9"/>
  <c r="E78" i="33"/>
  <c r="G66" i="33"/>
  <c r="W451" i="9"/>
  <c r="D48" i="33"/>
  <c r="T355" i="9"/>
  <c r="P545" i="9"/>
  <c r="X545" i="9" s="1"/>
  <c r="P543" i="9"/>
  <c r="P540" i="9"/>
  <c r="P541" i="9"/>
  <c r="P544" i="9"/>
  <c r="P539" i="9"/>
  <c r="P453" i="9"/>
  <c r="H84" i="33"/>
  <c r="P542" i="9"/>
  <c r="X627" i="9"/>
  <c r="H93" i="33"/>
  <c r="R453" i="9"/>
  <c r="B68" i="33"/>
  <c r="E79" i="33"/>
  <c r="U542" i="9"/>
  <c r="V542" i="9"/>
  <c r="F79" i="33"/>
  <c r="W452" i="9"/>
  <c r="G67" i="33"/>
  <c r="T360" i="9"/>
  <c r="D53" i="33"/>
  <c r="X628" i="9"/>
  <c r="H94" i="33"/>
  <c r="N352" i="9"/>
  <c r="N353" i="9" s="1"/>
  <c r="N350" i="9"/>
  <c r="M350" i="9"/>
  <c r="M352" i="9"/>
  <c r="M353" i="9" s="1"/>
  <c r="N448" i="9"/>
  <c r="N447" i="9"/>
  <c r="F70" i="33"/>
  <c r="N450" i="9"/>
  <c r="N452" i="9"/>
  <c r="N451" i="9"/>
  <c r="N449" i="9"/>
  <c r="B78" i="33"/>
  <c r="R541" i="9"/>
  <c r="D42" i="33"/>
  <c r="L268" i="9"/>
  <c r="L269" i="9"/>
  <c r="L266" i="9"/>
  <c r="L263" i="9"/>
  <c r="L265" i="9"/>
  <c r="L264" i="9"/>
  <c r="L267" i="9"/>
  <c r="U544" i="9"/>
  <c r="E81" i="33"/>
  <c r="F68" i="33"/>
  <c r="V453" i="9"/>
  <c r="G63" i="33"/>
  <c r="W448" i="9"/>
  <c r="T356" i="9"/>
  <c r="D49" i="33"/>
  <c r="AE31" i="13"/>
  <c r="B79" i="33"/>
  <c r="R542" i="9"/>
  <c r="F82" i="33"/>
  <c r="V545" i="9"/>
  <c r="O258" i="9"/>
  <c r="O260" i="9"/>
  <c r="O261" i="9" s="1"/>
  <c r="R539" i="9"/>
  <c r="B76" i="33"/>
  <c r="E80" i="33"/>
  <c r="U543" i="9"/>
  <c r="G56" i="33"/>
  <c r="O358" i="9"/>
  <c r="O359" i="9"/>
  <c r="O357" i="9"/>
  <c r="O356" i="9"/>
  <c r="O361" i="9"/>
  <c r="O360" i="9"/>
  <c r="O355" i="9"/>
  <c r="F77" i="33"/>
  <c r="V540" i="9"/>
  <c r="W450" i="9"/>
  <c r="G65" i="33"/>
  <c r="T357" i="9"/>
  <c r="D50" i="33"/>
  <c r="H91" i="33"/>
  <c r="X625" i="9"/>
  <c r="U539" i="9"/>
  <c r="E76" i="33"/>
  <c r="W447" i="9"/>
  <c r="G62" i="33"/>
  <c r="L166" i="9"/>
  <c r="L168" i="9"/>
  <c r="L169" i="9" s="1"/>
  <c r="B77" i="33"/>
  <c r="R540" i="9"/>
  <c r="O20" i="38"/>
  <c r="O22" i="38" s="1"/>
  <c r="T5" i="36"/>
  <c r="U453" i="9"/>
  <c r="E68" i="33"/>
  <c r="F80" i="33"/>
  <c r="V543" i="9"/>
  <c r="W449" i="9"/>
  <c r="G64" i="33"/>
  <c r="D54" i="33"/>
  <c r="T361" i="9"/>
  <c r="B82" i="33"/>
  <c r="R545" i="9"/>
  <c r="AC36" i="13"/>
  <c r="E82" i="33"/>
  <c r="U545" i="9"/>
  <c r="V544" i="9"/>
  <c r="F81" i="33"/>
  <c r="T359" i="9"/>
  <c r="D52" i="33"/>
  <c r="X626" i="9"/>
  <c r="H92" i="33"/>
  <c r="H90" i="33"/>
  <c r="X624" i="9"/>
  <c r="J350" i="9"/>
  <c r="J352" i="9"/>
  <c r="J353" i="9" s="1"/>
  <c r="P349" i="9"/>
  <c r="R543" i="9"/>
  <c r="B80" i="33"/>
  <c r="U540" i="9"/>
  <c r="E77" i="33"/>
  <c r="F78" i="33"/>
  <c r="V541" i="9"/>
  <c r="V539" i="9"/>
  <c r="F76" i="33"/>
  <c r="T358" i="9"/>
  <c r="D51" i="33"/>
  <c r="X629" i="9"/>
  <c r="H95" i="33"/>
  <c r="R341" i="9"/>
  <c r="R342" i="9" s="1"/>
  <c r="AF31" i="13" l="1"/>
  <c r="R450" i="9"/>
  <c r="B65" i="33"/>
  <c r="AD36" i="13"/>
  <c r="R135" i="9"/>
  <c r="T8" i="36"/>
  <c r="G50" i="33"/>
  <c r="W357" i="9"/>
  <c r="V447" i="9"/>
  <c r="F62" i="33"/>
  <c r="H81" i="33"/>
  <c r="X544" i="9"/>
  <c r="R449" i="9"/>
  <c r="B64" i="33"/>
  <c r="M442" i="9"/>
  <c r="M444" i="9"/>
  <c r="M445" i="9" s="1"/>
  <c r="P441" i="9"/>
  <c r="W359" i="9"/>
  <c r="G52" i="33"/>
  <c r="O265" i="9"/>
  <c r="O264" i="9"/>
  <c r="O263" i="9"/>
  <c r="O269" i="9"/>
  <c r="O266" i="9"/>
  <c r="G42" i="33"/>
  <c r="O268" i="9"/>
  <c r="O267" i="9"/>
  <c r="D38" i="33"/>
  <c r="T267" i="9"/>
  <c r="V448" i="9"/>
  <c r="F63" i="33"/>
  <c r="H78" i="33"/>
  <c r="X541" i="9"/>
  <c r="H76" i="33"/>
  <c r="X539" i="9"/>
  <c r="J258" i="9"/>
  <c r="J260" i="9"/>
  <c r="J261" i="9" s="1"/>
  <c r="P257" i="9"/>
  <c r="F5" i="36"/>
  <c r="G51" i="33"/>
  <c r="W358" i="9"/>
  <c r="T264" i="9"/>
  <c r="D35" i="33"/>
  <c r="X540" i="9"/>
  <c r="H77" i="33"/>
  <c r="U135" i="9"/>
  <c r="P352" i="9"/>
  <c r="P353" i="9" s="1"/>
  <c r="P350" i="9"/>
  <c r="T265" i="9"/>
  <c r="D36" i="33"/>
  <c r="F64" i="33"/>
  <c r="V449" i="9"/>
  <c r="E56" i="33"/>
  <c r="M356" i="9"/>
  <c r="M357" i="9"/>
  <c r="M359" i="9"/>
  <c r="M361" i="9"/>
  <c r="M358" i="9"/>
  <c r="M360" i="9"/>
  <c r="M355" i="9"/>
  <c r="X543" i="9"/>
  <c r="H80" i="33"/>
  <c r="B62" i="33"/>
  <c r="R447" i="9"/>
  <c r="G48" i="33"/>
  <c r="W355" i="9"/>
  <c r="D34" i="33"/>
  <c r="T263" i="9"/>
  <c r="F66" i="33"/>
  <c r="V451" i="9"/>
  <c r="N358" i="9"/>
  <c r="N356" i="9"/>
  <c r="N360" i="9"/>
  <c r="N357" i="9"/>
  <c r="F56" i="33"/>
  <c r="N355" i="9"/>
  <c r="N361" i="9"/>
  <c r="N359" i="9"/>
  <c r="X542" i="9"/>
  <c r="H79" i="33"/>
  <c r="R451" i="9"/>
  <c r="B66" i="33"/>
  <c r="T268" i="9"/>
  <c r="D39" i="33"/>
  <c r="AE34" i="13"/>
  <c r="O166" i="9"/>
  <c r="O168" i="9"/>
  <c r="O169" i="9" s="1"/>
  <c r="B56" i="33"/>
  <c r="J361" i="9"/>
  <c r="J357" i="9"/>
  <c r="J358" i="9"/>
  <c r="J356" i="9"/>
  <c r="J360" i="9"/>
  <c r="J355" i="9"/>
  <c r="L176" i="9"/>
  <c r="D28" i="33"/>
  <c r="L177" i="9"/>
  <c r="L174" i="9"/>
  <c r="L173" i="9"/>
  <c r="L171" i="9"/>
  <c r="L175" i="9"/>
  <c r="L172" i="9"/>
  <c r="W360" i="9"/>
  <c r="G53" i="33"/>
  <c r="T266" i="9"/>
  <c r="D37" i="33"/>
  <c r="F67" i="33"/>
  <c r="V452" i="9"/>
  <c r="R452" i="9"/>
  <c r="B67" i="33"/>
  <c r="P20" i="38"/>
  <c r="P22" i="38" s="1"/>
  <c r="U5" i="36"/>
  <c r="G49" i="33"/>
  <c r="W356" i="9"/>
  <c r="M258" i="9"/>
  <c r="M260" i="9"/>
  <c r="M261" i="9" s="1"/>
  <c r="X411" i="9"/>
  <c r="N260" i="9"/>
  <c r="N261" i="9" s="1"/>
  <c r="N258" i="9"/>
  <c r="W361" i="9"/>
  <c r="G54" i="33"/>
  <c r="T269" i="9"/>
  <c r="D40" i="33"/>
  <c r="V450" i="9"/>
  <c r="F65" i="33"/>
  <c r="H68" i="33"/>
  <c r="X453" i="9"/>
  <c r="R448" i="9"/>
  <c r="B63" i="33"/>
  <c r="R249" i="9"/>
  <c r="R250" i="9" s="1"/>
  <c r="AF34" i="13"/>
  <c r="V359" i="9" l="1"/>
  <c r="F52" i="33"/>
  <c r="J166" i="9"/>
  <c r="J168" i="9"/>
  <c r="J169" i="9" s="1"/>
  <c r="P165" i="9"/>
  <c r="D26" i="33"/>
  <c r="T177" i="9"/>
  <c r="R361" i="9"/>
  <c r="B54" i="33"/>
  <c r="V361" i="9"/>
  <c r="F54" i="33"/>
  <c r="W268" i="9"/>
  <c r="G39" i="33"/>
  <c r="N267" i="9"/>
  <c r="N265" i="9"/>
  <c r="N264" i="9"/>
  <c r="F42" i="33"/>
  <c r="N263" i="9"/>
  <c r="N269" i="9"/>
  <c r="N268" i="9"/>
  <c r="N266" i="9"/>
  <c r="U8" i="36"/>
  <c r="V355" i="9"/>
  <c r="F48" i="33"/>
  <c r="U355" i="9"/>
  <c r="E48" i="33"/>
  <c r="P442" i="9"/>
  <c r="P444" i="9"/>
  <c r="P445" i="9" s="1"/>
  <c r="T176" i="9"/>
  <c r="D25" i="33"/>
  <c r="AG31" i="13"/>
  <c r="E53" i="33"/>
  <c r="U360" i="9"/>
  <c r="G37" i="33"/>
  <c r="W266" i="9"/>
  <c r="G5" i="36"/>
  <c r="E49" i="33"/>
  <c r="U356" i="9"/>
  <c r="G38" i="33"/>
  <c r="W267" i="9"/>
  <c r="Q20" i="38"/>
  <c r="Q22" i="38" s="1"/>
  <c r="V5" i="36"/>
  <c r="D21" i="33"/>
  <c r="T172" i="9"/>
  <c r="B48" i="33"/>
  <c r="R355" i="9"/>
  <c r="O172" i="9"/>
  <c r="O173" i="9"/>
  <c r="G28" i="33"/>
  <c r="O174" i="9"/>
  <c r="O177" i="9"/>
  <c r="O175" i="9"/>
  <c r="O171" i="9"/>
  <c r="O176" i="9"/>
  <c r="V357" i="9"/>
  <c r="F50" i="33"/>
  <c r="U358" i="9"/>
  <c r="E51" i="33"/>
  <c r="F8" i="36"/>
  <c r="G40" i="33"/>
  <c r="W269" i="9"/>
  <c r="M450" i="9"/>
  <c r="M448" i="9"/>
  <c r="M449" i="9"/>
  <c r="M451" i="9"/>
  <c r="M452" i="9"/>
  <c r="E70" i="33"/>
  <c r="M447" i="9"/>
  <c r="D23" i="33"/>
  <c r="T174" i="9"/>
  <c r="D24" i="33"/>
  <c r="T175" i="9"/>
  <c r="R360" i="9"/>
  <c r="B53" i="33"/>
  <c r="V360" i="9"/>
  <c r="F53" i="33"/>
  <c r="U361" i="9"/>
  <c r="E54" i="33"/>
  <c r="P258" i="9"/>
  <c r="P260" i="9"/>
  <c r="P261" i="9" s="1"/>
  <c r="G34" i="33"/>
  <c r="W263" i="9"/>
  <c r="R357" i="9"/>
  <c r="B50" i="33"/>
  <c r="X319" i="9"/>
  <c r="AE36" i="13"/>
  <c r="N166" i="9"/>
  <c r="N168" i="9"/>
  <c r="N169" i="9" s="1"/>
  <c r="T171" i="9"/>
  <c r="D20" i="33"/>
  <c r="R356" i="9"/>
  <c r="B49" i="33"/>
  <c r="V356" i="9"/>
  <c r="F49" i="33"/>
  <c r="E52" i="33"/>
  <c r="U359" i="9"/>
  <c r="P356" i="9"/>
  <c r="P360" i="9"/>
  <c r="P358" i="9"/>
  <c r="P357" i="9"/>
  <c r="P359" i="9"/>
  <c r="P355" i="9"/>
  <c r="P361" i="9"/>
  <c r="H56" i="33"/>
  <c r="W264" i="9"/>
  <c r="G35" i="33"/>
  <c r="M166" i="9"/>
  <c r="M168" i="9"/>
  <c r="M169" i="9" s="1"/>
  <c r="M265" i="9"/>
  <c r="M267" i="9"/>
  <c r="M264" i="9"/>
  <c r="M268" i="9"/>
  <c r="M269" i="9"/>
  <c r="E42" i="33"/>
  <c r="M266" i="9"/>
  <c r="M263" i="9"/>
  <c r="T173" i="9"/>
  <c r="D22" i="33"/>
  <c r="R358" i="9"/>
  <c r="B51" i="33"/>
  <c r="V358" i="9"/>
  <c r="F51" i="33"/>
  <c r="U357" i="9"/>
  <c r="E50" i="33"/>
  <c r="J269" i="9"/>
  <c r="J264" i="9"/>
  <c r="J265" i="9"/>
  <c r="J266" i="9"/>
  <c r="B42" i="33"/>
  <c r="J268" i="9"/>
  <c r="J263" i="9"/>
  <c r="W265" i="9"/>
  <c r="G36" i="33"/>
  <c r="R157" i="9"/>
  <c r="R158" i="9" s="1"/>
  <c r="X341" i="9"/>
  <c r="X342" i="9" s="1"/>
  <c r="AF36" i="13" l="1"/>
  <c r="X361" i="9"/>
  <c r="H54" i="33"/>
  <c r="E38" i="33"/>
  <c r="U267" i="9"/>
  <c r="X355" i="9"/>
  <c r="H48" i="33"/>
  <c r="R263" i="9"/>
  <c r="B34" i="33"/>
  <c r="E37" i="33"/>
  <c r="U266" i="9"/>
  <c r="M175" i="9"/>
  <c r="M173" i="9"/>
  <c r="M172" i="9"/>
  <c r="M174" i="9"/>
  <c r="M171" i="9"/>
  <c r="E28" i="33"/>
  <c r="M177" i="9"/>
  <c r="M176" i="9"/>
  <c r="H51" i="33"/>
  <c r="X358" i="9"/>
  <c r="U448" i="9"/>
  <c r="E63" i="33"/>
  <c r="W173" i="9"/>
  <c r="G22" i="33"/>
  <c r="V269" i="9"/>
  <c r="F40" i="33"/>
  <c r="AH31" i="13"/>
  <c r="B39" i="33"/>
  <c r="R268" i="9"/>
  <c r="X360" i="9"/>
  <c r="H53" i="33"/>
  <c r="U450" i="9"/>
  <c r="E65" i="33"/>
  <c r="G21" i="33"/>
  <c r="W172" i="9"/>
  <c r="V263" i="9"/>
  <c r="F34" i="33"/>
  <c r="N172" i="9"/>
  <c r="N175" i="9"/>
  <c r="N177" i="9"/>
  <c r="N176" i="9"/>
  <c r="N173" i="9"/>
  <c r="N171" i="9"/>
  <c r="N174" i="9"/>
  <c r="F28" i="33"/>
  <c r="AG34" i="13"/>
  <c r="U269" i="9"/>
  <c r="E40" i="33"/>
  <c r="X356" i="9"/>
  <c r="H49" i="33"/>
  <c r="G25" i="33"/>
  <c r="W176" i="9"/>
  <c r="R266" i="9"/>
  <c r="B37" i="33"/>
  <c r="E39" i="33"/>
  <c r="U268" i="9"/>
  <c r="U447" i="9"/>
  <c r="E62" i="33"/>
  <c r="W171" i="9"/>
  <c r="G20" i="33"/>
  <c r="F35" i="33"/>
  <c r="V264" i="9"/>
  <c r="P168" i="9"/>
  <c r="P169" i="9" s="1"/>
  <c r="P166" i="9"/>
  <c r="G24" i="33"/>
  <c r="W175" i="9"/>
  <c r="F36" i="33"/>
  <c r="V265" i="9"/>
  <c r="H5" i="36"/>
  <c r="E67" i="33"/>
  <c r="U452" i="9"/>
  <c r="W177" i="9"/>
  <c r="G26" i="33"/>
  <c r="G8" i="36"/>
  <c r="F38" i="33"/>
  <c r="V267" i="9"/>
  <c r="J173" i="9"/>
  <c r="J172" i="9"/>
  <c r="J177" i="9"/>
  <c r="B28" i="33"/>
  <c r="J174" i="9"/>
  <c r="J171" i="9"/>
  <c r="J176" i="9"/>
  <c r="R265" i="9"/>
  <c r="B36" i="33"/>
  <c r="U264" i="9"/>
  <c r="E35" i="33"/>
  <c r="X227" i="9"/>
  <c r="R269" i="9"/>
  <c r="B40" i="33"/>
  <c r="P267" i="9"/>
  <c r="P266" i="9"/>
  <c r="P268" i="9"/>
  <c r="P264" i="9"/>
  <c r="P269" i="9"/>
  <c r="P263" i="9"/>
  <c r="H42" i="33"/>
  <c r="P265" i="9"/>
  <c r="U451" i="9"/>
  <c r="E66" i="33"/>
  <c r="G23" i="33"/>
  <c r="W174" i="9"/>
  <c r="V34" i="36"/>
  <c r="V8" i="36"/>
  <c r="P448" i="9"/>
  <c r="P447" i="9"/>
  <c r="H70" i="33"/>
  <c r="P449" i="9"/>
  <c r="P452" i="9"/>
  <c r="P450" i="9"/>
  <c r="P451" i="9"/>
  <c r="F37" i="33"/>
  <c r="V266" i="9"/>
  <c r="R264" i="9"/>
  <c r="B35" i="33"/>
  <c r="E36" i="33"/>
  <c r="U265" i="9"/>
  <c r="X359" i="9"/>
  <c r="H52" i="33"/>
  <c r="E34" i="33"/>
  <c r="U263" i="9"/>
  <c r="X357" i="9"/>
  <c r="H50" i="33"/>
  <c r="W5" i="36"/>
  <c r="R20" i="38"/>
  <c r="R22" i="38" s="1"/>
  <c r="U449" i="9"/>
  <c r="E64" i="33"/>
  <c r="F39" i="33"/>
  <c r="V268" i="9"/>
  <c r="X249" i="9"/>
  <c r="X250" i="9" s="1"/>
  <c r="I5" i="36" l="1"/>
  <c r="B20" i="33"/>
  <c r="R171" i="9"/>
  <c r="V176" i="9"/>
  <c r="F25" i="33"/>
  <c r="U174" i="9"/>
  <c r="E23" i="33"/>
  <c r="X451" i="9"/>
  <c r="H66" i="33"/>
  <c r="V37" i="36"/>
  <c r="Y52" i="24" s="1"/>
  <c r="H34" i="33"/>
  <c r="X263" i="9"/>
  <c r="S20" i="38"/>
  <c r="S22" i="38" s="1"/>
  <c r="X5" i="36"/>
  <c r="R174" i="9"/>
  <c r="B23" i="33"/>
  <c r="V177" i="9"/>
  <c r="F26" i="33"/>
  <c r="U172" i="9"/>
  <c r="E21" i="33"/>
  <c r="W34" i="36"/>
  <c r="W8" i="36"/>
  <c r="H65" i="33"/>
  <c r="X450" i="9"/>
  <c r="X269" i="9"/>
  <c r="H40" i="33"/>
  <c r="H8" i="36"/>
  <c r="F24" i="33"/>
  <c r="V175" i="9"/>
  <c r="E22" i="33"/>
  <c r="U173" i="9"/>
  <c r="AH34" i="13"/>
  <c r="AG36" i="13"/>
  <c r="H67" i="33"/>
  <c r="X452" i="9"/>
  <c r="H35" i="33"/>
  <c r="X264" i="9"/>
  <c r="B26" i="33"/>
  <c r="R177" i="9"/>
  <c r="V172" i="9"/>
  <c r="F21" i="33"/>
  <c r="U175" i="9"/>
  <c r="E24" i="33"/>
  <c r="U176" i="9"/>
  <c r="E25" i="33"/>
  <c r="H64" i="33"/>
  <c r="X449" i="9"/>
  <c r="R172" i="9"/>
  <c r="B21" i="33"/>
  <c r="B22" i="33"/>
  <c r="R173" i="9"/>
  <c r="F23" i="33"/>
  <c r="V174" i="9"/>
  <c r="U177" i="9"/>
  <c r="E26" i="33"/>
  <c r="X268" i="9"/>
  <c r="H39" i="33"/>
  <c r="X135" i="9"/>
  <c r="X266" i="9"/>
  <c r="H37" i="33"/>
  <c r="X447" i="9"/>
  <c r="H62" i="33"/>
  <c r="X267" i="9"/>
  <c r="H38" i="33"/>
  <c r="F20" i="33"/>
  <c r="V171" i="9"/>
  <c r="X448" i="9"/>
  <c r="H63" i="33"/>
  <c r="H36" i="33"/>
  <c r="X265" i="9"/>
  <c r="B25" i="33"/>
  <c r="R176" i="9"/>
  <c r="H28" i="33"/>
  <c r="P173" i="9"/>
  <c r="P171" i="9"/>
  <c r="P172" i="9"/>
  <c r="P177" i="9"/>
  <c r="P174" i="9"/>
  <c r="P176" i="9"/>
  <c r="P175" i="9"/>
  <c r="V173" i="9"/>
  <c r="F22" i="33"/>
  <c r="E20" i="33"/>
  <c r="U171" i="9"/>
  <c r="X157" i="9"/>
  <c r="X158" i="9" s="1"/>
  <c r="I8" i="36" l="1"/>
  <c r="J5" i="36"/>
  <c r="H21" i="33"/>
  <c r="X172" i="9"/>
  <c r="H20" i="33"/>
  <c r="X171" i="9"/>
  <c r="W37" i="36"/>
  <c r="Z52" i="24" s="1"/>
  <c r="X8" i="36"/>
  <c r="X175" i="9"/>
  <c r="H24" i="33"/>
  <c r="Y55" i="24"/>
  <c r="Y59" i="24"/>
  <c r="Y60" i="24"/>
  <c r="Y54" i="24"/>
  <c r="Y58" i="24"/>
  <c r="Y57" i="24"/>
  <c r="X173" i="9"/>
  <c r="H22" i="33"/>
  <c r="AH36" i="13"/>
  <c r="H25" i="33"/>
  <c r="X176" i="9"/>
  <c r="T20" i="38"/>
  <c r="T22" i="38" s="1"/>
  <c r="Y5" i="36"/>
  <c r="H23" i="33"/>
  <c r="X174" i="9"/>
  <c r="X177" i="9"/>
  <c r="H26" i="33"/>
  <c r="Z55" i="24" l="1"/>
  <c r="Z59" i="24"/>
  <c r="Z58" i="24"/>
  <c r="Z54" i="24"/>
  <c r="Z57" i="24"/>
  <c r="Z60" i="24"/>
  <c r="Y8" i="36"/>
  <c r="BF56" i="24"/>
  <c r="AM56" i="24"/>
  <c r="AM55" i="24"/>
  <c r="BF54" i="24"/>
  <c r="BF57" i="24"/>
  <c r="AM57" i="24"/>
  <c r="AM54" i="24"/>
  <c r="BF53" i="24"/>
  <c r="BE59" i="24"/>
  <c r="K5" i="36"/>
  <c r="BF58" i="24"/>
  <c r="AM58" i="24"/>
  <c r="J8" i="36"/>
  <c r="AM59" i="24" l="1"/>
  <c r="AV55" i="24" s="1"/>
  <c r="BF59" i="24"/>
  <c r="AN56" i="24"/>
  <c r="BG56" i="24"/>
  <c r="AN54" i="24"/>
  <c r="BG53" i="24"/>
  <c r="K8" i="36"/>
  <c r="AN57" i="24"/>
  <c r="BG57" i="24"/>
  <c r="AN58" i="24"/>
  <c r="BG58" i="24"/>
  <c r="BG54" i="24"/>
  <c r="AN55" i="24"/>
  <c r="AV57" i="24" l="1"/>
  <c r="AV54" i="24"/>
  <c r="AV56" i="24"/>
  <c r="AV58" i="24"/>
  <c r="AN59" i="24"/>
  <c r="AW57" i="24" s="1"/>
  <c r="AW54" i="24" l="1"/>
  <c r="AW58" i="24"/>
  <c r="AW55" i="24"/>
  <c r="AW56" i="24"/>
  <c r="AI35" i="13" l="1"/>
  <c r="S43" i="9" l="1"/>
  <c r="S65" i="9" l="1"/>
  <c r="S66" i="9" s="1"/>
  <c r="AI32" i="13" l="1"/>
  <c r="K74" i="9" l="1"/>
  <c r="K76" i="9"/>
  <c r="K77" i="9" s="1"/>
  <c r="C14" i="33" l="1"/>
  <c r="K85" i="9"/>
  <c r="K82" i="9"/>
  <c r="K81" i="9"/>
  <c r="K80" i="9"/>
  <c r="K79" i="9"/>
  <c r="K84" i="9"/>
  <c r="K83" i="9"/>
  <c r="C11" i="33" l="1"/>
  <c r="S84" i="9"/>
  <c r="C8" i="33"/>
  <c r="S81" i="9"/>
  <c r="S83" i="9"/>
  <c r="C10" i="33"/>
  <c r="C12" i="33"/>
  <c r="S85" i="9"/>
  <c r="C6" i="33"/>
  <c r="S79" i="9"/>
  <c r="C7" i="33"/>
  <c r="S80" i="9"/>
  <c r="C9" i="33"/>
  <c r="S82" i="9"/>
  <c r="R43" i="9" l="1"/>
  <c r="J76" i="9" l="1"/>
  <c r="J77" i="9" s="1"/>
  <c r="J74" i="9"/>
  <c r="R65" i="9"/>
  <c r="R66" i="9" s="1"/>
  <c r="AI31" i="13"/>
  <c r="B14" i="33" l="1"/>
  <c r="J81" i="9"/>
  <c r="J82" i="9"/>
  <c r="J85" i="9"/>
  <c r="J80" i="9"/>
  <c r="J79" i="9"/>
  <c r="J84" i="9"/>
  <c r="AI33" i="13"/>
  <c r="B9" i="33" l="1"/>
  <c r="R82" i="9"/>
  <c r="R81" i="9"/>
  <c r="B8" i="33"/>
  <c r="R85" i="9"/>
  <c r="B12" i="33"/>
  <c r="R84" i="9"/>
  <c r="B11" i="33"/>
  <c r="R79" i="9"/>
  <c r="B6" i="33"/>
  <c r="R80" i="9"/>
  <c r="B7" i="33"/>
  <c r="V43" i="9" l="1"/>
  <c r="W43" i="9"/>
  <c r="T43" i="9"/>
  <c r="O74" i="9" l="1"/>
  <c r="O76" i="9"/>
  <c r="O77" i="9" s="1"/>
  <c r="L74" i="9" l="1"/>
  <c r="L76" i="9"/>
  <c r="L77" i="9" s="1"/>
  <c r="N74" i="9"/>
  <c r="N76" i="9"/>
  <c r="N77" i="9" s="1"/>
  <c r="O84" i="9"/>
  <c r="O82" i="9"/>
  <c r="O83" i="9"/>
  <c r="O81" i="9"/>
  <c r="G14" i="33"/>
  <c r="O85" i="9"/>
  <c r="O79" i="9"/>
  <c r="O80" i="9"/>
  <c r="G11" i="33" l="1"/>
  <c r="W84" i="9"/>
  <c r="W85" i="9"/>
  <c r="G12" i="33"/>
  <c r="G7" i="33"/>
  <c r="W80" i="9"/>
  <c r="N85" i="9"/>
  <c r="F14" i="33"/>
  <c r="N83" i="9"/>
  <c r="N84" i="9"/>
  <c r="N82" i="9"/>
  <c r="N81" i="9"/>
  <c r="N79" i="9"/>
  <c r="N80" i="9"/>
  <c r="G8" i="33"/>
  <c r="W81" i="9"/>
  <c r="L85" i="9"/>
  <c r="D14" i="33"/>
  <c r="L84" i="9"/>
  <c r="L80" i="9"/>
  <c r="L82" i="9"/>
  <c r="L81" i="9"/>
  <c r="L79" i="9"/>
  <c r="L83" i="9"/>
  <c r="W83" i="9"/>
  <c r="G10" i="33"/>
  <c r="G6" i="33"/>
  <c r="W79" i="9"/>
  <c r="W82" i="9"/>
  <c r="G9" i="33"/>
  <c r="D6" i="33" l="1"/>
  <c r="T79" i="9"/>
  <c r="F12" i="33"/>
  <c r="V85" i="9"/>
  <c r="F7" i="33"/>
  <c r="V80" i="9"/>
  <c r="F6" i="33"/>
  <c r="V79" i="9"/>
  <c r="D10" i="33"/>
  <c r="T83" i="9"/>
  <c r="D7" i="33"/>
  <c r="T80" i="9"/>
  <c r="F8" i="33"/>
  <c r="V81" i="9"/>
  <c r="T81" i="9"/>
  <c r="D8" i="33"/>
  <c r="T84" i="9"/>
  <c r="D11" i="33"/>
  <c r="T82" i="9"/>
  <c r="D9" i="33"/>
  <c r="F9" i="33"/>
  <c r="V82" i="9"/>
  <c r="F11" i="33"/>
  <c r="V84" i="9"/>
  <c r="T85" i="9"/>
  <c r="D12" i="33"/>
  <c r="V83" i="9"/>
  <c r="F10" i="33"/>
  <c r="U43" i="9" l="1"/>
  <c r="M74" i="9" l="1"/>
  <c r="M76" i="9"/>
  <c r="M77" i="9" s="1"/>
  <c r="P73" i="9"/>
  <c r="P76" i="9" l="1"/>
  <c r="P77" i="9" s="1"/>
  <c r="P74" i="9"/>
  <c r="M82" i="9"/>
  <c r="M84" i="9"/>
  <c r="M85" i="9"/>
  <c r="M79" i="9"/>
  <c r="E14" i="33"/>
  <c r="M80" i="9"/>
  <c r="M81" i="9"/>
  <c r="M83" i="9"/>
  <c r="AI34" i="13"/>
  <c r="U85" i="9" l="1"/>
  <c r="E12" i="33"/>
  <c r="E11" i="33"/>
  <c r="U84" i="9"/>
  <c r="X43" i="9"/>
  <c r="E9" i="33"/>
  <c r="U82" i="9"/>
  <c r="E6" i="33"/>
  <c r="U79" i="9"/>
  <c r="U81" i="9"/>
  <c r="E8" i="33"/>
  <c r="U80" i="9"/>
  <c r="E7" i="33"/>
  <c r="P80" i="9"/>
  <c r="H14" i="33"/>
  <c r="P85" i="9"/>
  <c r="P81" i="9"/>
  <c r="P82" i="9"/>
  <c r="P83" i="9"/>
  <c r="P84" i="9"/>
  <c r="P79" i="9"/>
  <c r="U83" i="9"/>
  <c r="E10" i="33"/>
  <c r="X65" i="9"/>
  <c r="X66" i="9" s="1"/>
  <c r="Z5" i="36" l="1"/>
  <c r="AI36" i="13"/>
  <c r="X85" i="9"/>
  <c r="H12" i="33"/>
  <c r="U20" i="38"/>
  <c r="U22" i="38" s="1"/>
  <c r="X81" i="9"/>
  <c r="H8" i="33"/>
  <c r="H11" i="33"/>
  <c r="X84" i="9"/>
  <c r="X80" i="9"/>
  <c r="H7" i="33"/>
  <c r="X79" i="9"/>
  <c r="H6" i="33"/>
  <c r="H10" i="33"/>
  <c r="X83" i="9"/>
  <c r="X82" i="9"/>
  <c r="H9" i="33"/>
  <c r="Z8" i="36" l="1"/>
  <c r="L5" i="36"/>
  <c r="L8" i="36" l="1"/>
  <c r="AA7" i="36"/>
  <c r="AA6" i="36" l="1"/>
  <c r="P23" i="19" l="1"/>
  <c r="Z23" i="19"/>
  <c r="E23" i="19"/>
  <c r="F23" i="19"/>
  <c r="L23" i="19"/>
  <c r="J23" i="19"/>
  <c r="Q23" i="19"/>
  <c r="G23" i="19"/>
  <c r="D23" i="19"/>
  <c r="M23" i="19"/>
  <c r="Y23" i="19"/>
  <c r="V23" i="19"/>
  <c r="N23" i="19"/>
  <c r="O23" i="19"/>
  <c r="C23" i="19"/>
  <c r="I23" i="19"/>
  <c r="T23" i="19"/>
  <c r="H23" i="19"/>
  <c r="AB23" i="19"/>
  <c r="S23" i="19"/>
  <c r="R23" i="19"/>
  <c r="W23" i="19"/>
  <c r="X23" i="19"/>
  <c r="B23" i="19"/>
  <c r="U23" i="19"/>
  <c r="K23" i="19"/>
  <c r="I26" i="19" l="1"/>
  <c r="I28" i="19" s="1"/>
  <c r="Q26" i="19"/>
  <c r="Q28" i="19" s="1"/>
  <c r="AA23" i="19"/>
  <c r="AA26" i="19" s="1"/>
  <c r="AA28" i="19" s="1"/>
  <c r="V26" i="19"/>
  <c r="V28" i="19" s="1"/>
  <c r="L26" i="19"/>
  <c r="L28" i="19" s="1"/>
  <c r="Z26" i="19"/>
  <c r="Z28" i="19" s="1"/>
  <c r="W26" i="19"/>
  <c r="W28" i="19" s="1"/>
  <c r="P26" i="19"/>
  <c r="P28" i="19" s="1"/>
  <c r="B26" i="19"/>
  <c r="B28" i="19" s="1"/>
  <c r="T26" i="19"/>
  <c r="T28" i="19" s="1"/>
  <c r="O26" i="19"/>
  <c r="O28" i="19" s="1"/>
  <c r="F26" i="19"/>
  <c r="F28" i="19" s="1"/>
  <c r="X26" i="19"/>
  <c r="X28" i="19" s="1"/>
  <c r="AB26" i="19"/>
  <c r="AB28" i="19" s="1"/>
  <c r="J26" i="19"/>
  <c r="J28" i="19" s="1"/>
  <c r="E26" i="19"/>
  <c r="E28" i="19" s="1"/>
  <c r="R26" i="19"/>
  <c r="R28" i="19" s="1"/>
  <c r="K26" i="19"/>
  <c r="K28" i="19" s="1"/>
  <c r="U26" i="19"/>
  <c r="U28" i="19" s="1"/>
  <c r="S26" i="19"/>
  <c r="S28" i="19" s="1"/>
  <c r="N26" i="19"/>
  <c r="N28" i="19" s="1"/>
  <c r="M26" i="19"/>
  <c r="M28" i="19" s="1"/>
  <c r="C26" i="19"/>
  <c r="C28" i="19" s="1"/>
  <c r="D26" i="19"/>
  <c r="D28" i="19" s="1"/>
  <c r="H26" i="19"/>
  <c r="H28" i="19" s="1"/>
  <c r="Y26" i="19"/>
  <c r="Y28" i="19" s="1"/>
  <c r="G26" i="19"/>
  <c r="G28" i="19" s="1"/>
  <c r="AA30" i="19" l="1"/>
  <c r="AB29" i="19"/>
  <c r="AB30" i="19"/>
  <c r="Z29" i="19"/>
  <c r="Z30" i="19" s="1"/>
  <c r="Y29" i="19"/>
  <c r="Y30" i="19" s="1"/>
  <c r="X29" i="19"/>
  <c r="X30" i="19" s="1"/>
  <c r="W29" i="19"/>
  <c r="W30" i="19" s="1"/>
  <c r="Q30" i="19"/>
  <c r="U29" i="19"/>
  <c r="U30" i="19" s="1"/>
  <c r="T29" i="19"/>
  <c r="T30" i="19" s="1"/>
  <c r="S29" i="19"/>
  <c r="S30" i="19" s="1"/>
  <c r="R29" i="19"/>
  <c r="R30" i="19" s="1"/>
  <c r="L30" i="19"/>
  <c r="I29" i="19"/>
  <c r="I30" i="19" s="1"/>
  <c r="K29" i="19"/>
  <c r="K30" i="19" s="1"/>
  <c r="D29" i="19"/>
  <c r="D30" i="19" s="1"/>
  <c r="H29" i="19"/>
  <c r="H30" i="19" s="1"/>
  <c r="G29" i="19"/>
  <c r="G30" i="19" s="1"/>
  <c r="F29" i="19"/>
  <c r="F30" i="19" s="1"/>
  <c r="E29" i="19"/>
  <c r="E30" i="19" s="1"/>
  <c r="C29" i="19"/>
  <c r="C30" i="19" s="1"/>
  <c r="J29" i="19"/>
  <c r="J30" i="19" s="1"/>
  <c r="B29" i="19"/>
  <c r="B30" i="19" s="1"/>
  <c r="V30" i="19"/>
  <c r="O29" i="19"/>
  <c r="O30" i="19" s="1"/>
  <c r="P29" i="19"/>
  <c r="P30" i="19" s="1"/>
  <c r="M29" i="19"/>
  <c r="M30" i="19" s="1"/>
  <c r="N29" i="19"/>
  <c r="N30" i="19" s="1"/>
  <c r="AH23" i="19" l="1"/>
  <c r="AG23" i="19"/>
  <c r="AG26" i="19" l="1"/>
  <c r="AG28" i="19" s="1"/>
  <c r="AG30" i="19" s="1"/>
  <c r="AH26" i="19"/>
  <c r="AH28" i="19" s="1"/>
  <c r="AH30" i="19" s="1"/>
  <c r="AF23" i="19" l="1"/>
  <c r="AF26" i="19" s="1"/>
  <c r="AF28" i="19" s="1"/>
  <c r="AF30" i="19" s="1"/>
  <c r="Z56" i="24" s="1"/>
  <c r="BG55" i="24" s="1"/>
  <c r="AI23" i="19" l="1"/>
  <c r="AI26" i="19" s="1"/>
  <c r="AC23" i="19" l="1"/>
  <c r="AE23" i="19"/>
  <c r="AD23" i="19"/>
  <c r="AD26" i="19" l="1"/>
  <c r="AD28" i="19" s="1"/>
  <c r="AE26" i="19"/>
  <c r="AE28" i="19" s="1"/>
  <c r="AC26" i="19"/>
  <c r="AC28" i="19" s="1"/>
  <c r="AE29" i="19" l="1"/>
  <c r="AE30" i="19" s="1"/>
  <c r="Y56" i="24" s="1"/>
  <c r="BF55" i="24" s="1"/>
  <c r="AD29" i="19"/>
  <c r="AD30" i="19" s="1"/>
  <c r="AC29" i="19"/>
  <c r="AC30" i="19" s="1"/>
  <c r="AI28" i="19" l="1"/>
  <c r="AI30" i="19" s="1"/>
  <c r="AI29" i="4" l="1"/>
  <c r="W89" i="6" l="1"/>
  <c r="W63" i="6"/>
  <c r="W105" i="6"/>
  <c r="Y63" i="6"/>
  <c r="Y89" i="6"/>
  <c r="Y105" i="6"/>
  <c r="X105" i="6"/>
  <c r="X89" i="6"/>
  <c r="X63" i="6"/>
  <c r="S525" i="9"/>
  <c r="S526" i="9" s="1"/>
  <c r="S433" i="9"/>
  <c r="S434" i="9" s="1"/>
  <c r="O19" i="27" l="1"/>
  <c r="X110" i="6"/>
  <c r="Y66" i="6"/>
  <c r="Y64" i="6"/>
  <c r="Y65" i="6" s="1"/>
  <c r="Y75" i="6"/>
  <c r="X114" i="6"/>
  <c r="O18" i="27"/>
  <c r="W114" i="6"/>
  <c r="N18" i="27"/>
  <c r="P18" i="27"/>
  <c r="Z114" i="6"/>
  <c r="Y114" i="6"/>
  <c r="W64" i="6"/>
  <c r="W66" i="6"/>
  <c r="W75" i="6"/>
  <c r="X66" i="6"/>
  <c r="X64" i="6"/>
  <c r="X65" i="6" s="1"/>
  <c r="X75" i="6"/>
  <c r="Y110" i="6"/>
  <c r="P19" i="27"/>
  <c r="Z110" i="6"/>
  <c r="N19" i="27"/>
  <c r="W110" i="6"/>
  <c r="X73" i="6" l="1"/>
  <c r="Y73" i="6"/>
  <c r="W69" i="6"/>
  <c r="W65" i="6"/>
  <c r="W67" i="6"/>
  <c r="W76" i="6"/>
  <c r="Y76" i="6"/>
  <c r="Y67" i="6"/>
  <c r="X67" i="6"/>
  <c r="X76" i="6"/>
  <c r="Y69" i="6"/>
  <c r="X69" i="6"/>
  <c r="S611" i="9"/>
  <c r="S612" i="9" s="1"/>
  <c r="Y68" i="6" l="1"/>
  <c r="W68" i="6"/>
  <c r="X70" i="6"/>
  <c r="W70" i="6"/>
  <c r="X68" i="6"/>
  <c r="Y78" i="6"/>
  <c r="W78" i="6"/>
  <c r="W73" i="6"/>
  <c r="Y70" i="6"/>
  <c r="X78" i="6"/>
  <c r="X611" i="9" l="1"/>
  <c r="X612" i="9" s="1"/>
  <c r="X525" i="9" l="1"/>
  <c r="X526" i="9" s="1"/>
  <c r="X433" i="9" l="1"/>
  <c r="X434" i="9" s="1"/>
  <c r="AI59" i="20" l="1"/>
  <c r="AI22" i="1"/>
  <c r="AI39" i="20"/>
  <c r="AJ35" i="13" l="1"/>
  <c r="AG60" i="20" l="1"/>
  <c r="AD61" i="20"/>
  <c r="AE61" i="20"/>
  <c r="AF61" i="20"/>
  <c r="AG61" i="20"/>
  <c r="AH61" i="20"/>
  <c r="AE60" i="20" l="1"/>
  <c r="X59" i="20"/>
  <c r="X22" i="1"/>
  <c r="P22" i="1"/>
  <c r="H22" i="1"/>
  <c r="AH62" i="20"/>
  <c r="AD60" i="20"/>
  <c r="AE59" i="20"/>
  <c r="AE22" i="1"/>
  <c r="W59" i="20"/>
  <c r="W22" i="1"/>
  <c r="O22" i="1"/>
  <c r="AG62" i="20"/>
  <c r="N22" i="1"/>
  <c r="F22" i="1"/>
  <c r="AF62" i="20"/>
  <c r="M22" i="1"/>
  <c r="C22" i="1"/>
  <c r="AG22" i="1"/>
  <c r="AG59" i="20"/>
  <c r="AG39" i="20"/>
  <c r="AE62" i="20"/>
  <c r="E27" i="1"/>
  <c r="T59" i="20"/>
  <c r="T22" i="1"/>
  <c r="AH59" i="20"/>
  <c r="AH22" i="1"/>
  <c r="AH39" i="20"/>
  <c r="AD62" i="20"/>
  <c r="AH60" i="20"/>
  <c r="D27" i="1"/>
  <c r="AA59" i="20"/>
  <c r="AA22" i="1"/>
  <c r="S59" i="20"/>
  <c r="S22" i="1"/>
  <c r="K22" i="1"/>
  <c r="Z59" i="20"/>
  <c r="Z22" i="1"/>
  <c r="R59" i="20"/>
  <c r="R22" i="1"/>
  <c r="J22" i="1"/>
  <c r="AF60" i="20"/>
  <c r="Y59" i="20"/>
  <c r="Y22" i="1"/>
  <c r="I22" i="1"/>
  <c r="AE29" i="4"/>
  <c r="AI61" i="20"/>
  <c r="C27" i="1" l="1"/>
  <c r="AC59" i="20"/>
  <c r="AC22" i="1"/>
  <c r="B27" i="1"/>
  <c r="AD59" i="20"/>
  <c r="AD22" i="1"/>
  <c r="G22" i="1"/>
  <c r="G59" i="20"/>
  <c r="L59" i="20"/>
  <c r="L22" i="1"/>
  <c r="AF22" i="1"/>
  <c r="AF59" i="20"/>
  <c r="AF39" i="20"/>
  <c r="Q22" i="1"/>
  <c r="Q59" i="20"/>
  <c r="U59" i="20"/>
  <c r="U22" i="1"/>
  <c r="AI60" i="20"/>
  <c r="AB59" i="20"/>
  <c r="AB22" i="1"/>
  <c r="V59" i="20"/>
  <c r="V22" i="1"/>
  <c r="I27" i="1"/>
  <c r="X64" i="20"/>
  <c r="AI62" i="20"/>
  <c r="W63" i="20" l="1"/>
  <c r="W27" i="1"/>
  <c r="AE27" i="1"/>
  <c r="AJ27" i="1"/>
  <c r="AA63" i="20"/>
  <c r="AA27" i="1"/>
  <c r="Y63" i="20"/>
  <c r="Y27" i="1"/>
  <c r="H27" i="1"/>
  <c r="N27" i="1"/>
  <c r="AC63" i="20"/>
  <c r="AC27" i="1"/>
  <c r="X63" i="20"/>
  <c r="X27" i="1"/>
  <c r="AB63" i="20"/>
  <c r="AB27" i="1"/>
  <c r="U64" i="20"/>
  <c r="P27" i="1"/>
  <c r="T64" i="20"/>
  <c r="M27" i="1"/>
  <c r="V64" i="20"/>
  <c r="AA64" i="20"/>
  <c r="S64" i="20"/>
  <c r="O27" i="1"/>
  <c r="AD52" i="20"/>
  <c r="W64" i="20"/>
  <c r="K27" i="1"/>
  <c r="F27" i="1" l="1"/>
  <c r="L64" i="20"/>
  <c r="AC64" i="20"/>
  <c r="T27" i="1"/>
  <c r="T63" i="20"/>
  <c r="Z64" i="20"/>
  <c r="AB64" i="20"/>
  <c r="AD27" i="1"/>
  <c r="AD63" i="20"/>
  <c r="L63" i="20"/>
  <c r="L27" i="1"/>
  <c r="B51" i="20"/>
  <c r="AH63" i="20"/>
  <c r="AH52" i="20"/>
  <c r="AH64" i="20" s="1"/>
  <c r="U63" i="20"/>
  <c r="U27" i="1"/>
  <c r="AD64" i="20"/>
  <c r="Y64" i="20"/>
  <c r="V63" i="20"/>
  <c r="V27" i="1"/>
  <c r="G51" i="20"/>
  <c r="G52" i="20" s="1"/>
  <c r="G54" i="20" s="1"/>
  <c r="G27" i="1"/>
  <c r="AG52" i="20"/>
  <c r="AG64" i="20" s="1"/>
  <c r="AG63" i="20"/>
  <c r="J27" i="1"/>
  <c r="S63" i="20"/>
  <c r="S27" i="1"/>
  <c r="Z63" i="20"/>
  <c r="Z27" i="1"/>
  <c r="R64" i="20"/>
  <c r="Q64" i="20" l="1"/>
  <c r="G63" i="20"/>
  <c r="AF63" i="20"/>
  <c r="AF52" i="20"/>
  <c r="AF64" i="20" s="1"/>
  <c r="B52" i="20"/>
  <c r="B63" i="20"/>
  <c r="R63" i="20"/>
  <c r="R27" i="1"/>
  <c r="Q63" i="20"/>
  <c r="Q27" i="1"/>
  <c r="AE52" i="20"/>
  <c r="AE64" i="20" s="1"/>
  <c r="AE63" i="20"/>
  <c r="G64" i="20"/>
  <c r="B54" i="20" l="1"/>
  <c r="B64" i="20"/>
  <c r="AI63" i="20"/>
  <c r="AI52" i="20"/>
  <c r="AI64" i="20" s="1"/>
  <c r="AJ63" i="20" l="1"/>
  <c r="AJ52" i="20"/>
  <c r="AC84" i="24" l="1"/>
  <c r="AC18" i="24"/>
  <c r="AC86" i="24"/>
  <c r="AC10" i="24"/>
  <c r="AC11" i="24" l="1"/>
  <c r="AC30" i="24"/>
  <c r="AC32" i="24"/>
  <c r="AC42" i="24" l="1"/>
  <c r="AC43" i="24" s="1"/>
  <c r="AC40" i="24"/>
  <c r="V18" i="24" l="1"/>
  <c r="U18" i="24"/>
  <c r="AB18" i="24" l="1"/>
  <c r="AA18" i="24"/>
  <c r="Y18" i="24"/>
  <c r="Z18" i="24"/>
  <c r="X18" i="24"/>
  <c r="W18" i="24"/>
  <c r="AI7" i="24"/>
  <c r="AA86" i="24"/>
  <c r="AA126" i="24"/>
  <c r="AB126" i="24" s="1"/>
  <c r="AJ7" i="24"/>
  <c r="AB86" i="24"/>
  <c r="AD86" i="24" s="1"/>
  <c r="AE86" i="24" s="1"/>
  <c r="AK7" i="24"/>
  <c r="AB10" i="24"/>
  <c r="AJ6" i="24"/>
  <c r="AB84" i="24"/>
  <c r="AD84" i="24" s="1"/>
  <c r="AE84" i="24" s="1"/>
  <c r="AK6" i="24"/>
  <c r="AI6" i="24"/>
  <c r="AA125" i="24"/>
  <c r="AB125" i="24" s="1"/>
  <c r="AA84" i="24"/>
  <c r="AA10" i="24"/>
  <c r="AB11" i="24" l="1"/>
  <c r="AA11" i="24"/>
  <c r="AA32" i="24"/>
  <c r="AA27" i="24"/>
  <c r="AI10" i="24"/>
  <c r="AA30" i="24"/>
  <c r="AA128" i="24"/>
  <c r="AB128" i="24" s="1"/>
  <c r="AB30" i="24"/>
  <c r="AB32" i="24"/>
  <c r="AJ10" i="24"/>
  <c r="AK10" i="24"/>
  <c r="AA40" i="24" l="1"/>
  <c r="AA42" i="24"/>
  <c r="AA43" i="24" s="1"/>
  <c r="AB42" i="24"/>
  <c r="AB43" i="24" s="1"/>
  <c r="AB40" i="24"/>
  <c r="R63" i="24" l="1"/>
  <c r="Q63" i="24"/>
  <c r="S63" i="24"/>
  <c r="M63" i="24"/>
  <c r="N63" i="24"/>
  <c r="Y63" i="24"/>
  <c r="L63" i="24"/>
  <c r="T63" i="24"/>
  <c r="Z63" i="24"/>
  <c r="O63" i="24"/>
  <c r="AJ62" i="20" l="1"/>
  <c r="AJ26" i="1"/>
  <c r="AJ25" i="1"/>
  <c r="AJ61" i="20"/>
  <c r="AJ59" i="20" l="1"/>
  <c r="AJ22" i="1"/>
  <c r="AJ60" i="20" l="1"/>
  <c r="AJ24" i="1"/>
  <c r="AJ39" i="20"/>
  <c r="AJ64" i="20" s="1"/>
  <c r="AI23" i="1" l="1"/>
  <c r="AI25" i="4"/>
  <c r="AI27" i="4" l="1"/>
  <c r="AI28" i="4" l="1"/>
  <c r="C23" i="1" l="1"/>
  <c r="H23" i="1"/>
  <c r="P23" i="1"/>
  <c r="Z28" i="4"/>
  <c r="Y28" i="4"/>
  <c r="X28" i="4"/>
  <c r="W28" i="4"/>
  <c r="V28" i="4"/>
  <c r="U28" i="4"/>
  <c r="T28" i="4"/>
  <c r="S28" i="4"/>
  <c r="R28" i="4"/>
  <c r="Q28" i="4"/>
  <c r="Z27" i="4"/>
  <c r="Y27" i="4"/>
  <c r="X27" i="4"/>
  <c r="W27" i="4"/>
  <c r="V27" i="4"/>
  <c r="U27" i="4"/>
  <c r="T27" i="4"/>
  <c r="S27" i="4"/>
  <c r="R27" i="4"/>
  <c r="Q27" i="4"/>
  <c r="E23" i="1"/>
  <c r="D23" i="1"/>
  <c r="B23" i="1"/>
  <c r="G23" i="1"/>
  <c r="O23" i="1"/>
  <c r="W43" i="6" l="1"/>
  <c r="Y43" i="6"/>
  <c r="X43" i="6"/>
  <c r="AA28" i="4"/>
  <c r="W25" i="4"/>
  <c r="W23" i="1"/>
  <c r="AG27" i="4"/>
  <c r="AA27" i="4"/>
  <c r="AB28" i="4"/>
  <c r="R23" i="1"/>
  <c r="R25" i="4"/>
  <c r="AB27" i="4"/>
  <c r="AC28" i="4"/>
  <c r="AC27" i="4"/>
  <c r="AD28" i="4"/>
  <c r="AH28" i="4"/>
  <c r="AD27" i="4"/>
  <c r="AE28" i="4"/>
  <c r="AG28" i="4"/>
  <c r="Y25" i="4"/>
  <c r="Y23" i="1"/>
  <c r="AE27" i="4"/>
  <c r="AF28" i="4"/>
  <c r="AF27" i="4"/>
  <c r="AH27" i="4"/>
  <c r="I23" i="1"/>
  <c r="M23" i="1"/>
  <c r="N23" i="1"/>
  <c r="F23" i="1"/>
  <c r="K23" i="1"/>
  <c r="J23" i="1"/>
  <c r="L23" i="1"/>
  <c r="W93" i="6" l="1"/>
  <c r="W74" i="6"/>
  <c r="W46" i="6"/>
  <c r="X93" i="6"/>
  <c r="X74" i="6"/>
  <c r="X46" i="6"/>
  <c r="Y74" i="6"/>
  <c r="Y93" i="6"/>
  <c r="Y46" i="6"/>
  <c r="Z43" i="6"/>
  <c r="S23" i="1"/>
  <c r="S25" i="4"/>
  <c r="X23" i="1"/>
  <c r="X25" i="4"/>
  <c r="Z25" i="4"/>
  <c r="Z23" i="1"/>
  <c r="V23" i="1"/>
  <c r="V25" i="4"/>
  <c r="T25" i="4"/>
  <c r="T23" i="1"/>
  <c r="Q25" i="4"/>
  <c r="Q23" i="1"/>
  <c r="U25" i="4"/>
  <c r="U23" i="1"/>
  <c r="X40" i="6" l="1"/>
  <c r="X72" i="6"/>
  <c r="X88" i="6"/>
  <c r="X126" i="6"/>
  <c r="X94" i="6"/>
  <c r="X90" i="6"/>
  <c r="X41" i="6"/>
  <c r="X118" i="6"/>
  <c r="Z93" i="6"/>
  <c r="Z74" i="6"/>
  <c r="Z46" i="6"/>
  <c r="Y72" i="6"/>
  <c r="Y88" i="6"/>
  <c r="Y90" i="6"/>
  <c r="Y126" i="6"/>
  <c r="Y41" i="6"/>
  <c r="Y118" i="6"/>
  <c r="Y40" i="6"/>
  <c r="Y94" i="6"/>
  <c r="W88" i="6"/>
  <c r="W72" i="6"/>
  <c r="W126" i="6"/>
  <c r="W94" i="6"/>
  <c r="W118" i="6"/>
  <c r="W90" i="6"/>
  <c r="W41" i="6"/>
  <c r="W40" i="6"/>
  <c r="AE23" i="1"/>
  <c r="AE25" i="4"/>
  <c r="AG25" i="4"/>
  <c r="AG23" i="1"/>
  <c r="AH25" i="4"/>
  <c r="AH23" i="1"/>
  <c r="AD25" i="4"/>
  <c r="AD23" i="1"/>
  <c r="AC23" i="1"/>
  <c r="AC25" i="4"/>
  <c r="AA23" i="1"/>
  <c r="AA25" i="4"/>
  <c r="AB25" i="4"/>
  <c r="AB23" i="1"/>
  <c r="AF25" i="4"/>
  <c r="AF23" i="1"/>
  <c r="N20" i="27" l="1"/>
  <c r="W109" i="6"/>
  <c r="X111" i="6"/>
  <c r="O15" i="27"/>
  <c r="W111" i="6"/>
  <c r="N15" i="27"/>
  <c r="Z88" i="6"/>
  <c r="Z41" i="6"/>
  <c r="Z90" i="6"/>
  <c r="Z118" i="6"/>
  <c r="Z40" i="6"/>
  <c r="Z126" i="6"/>
  <c r="Z72" i="6"/>
  <c r="Z94" i="6"/>
  <c r="X109" i="6"/>
  <c r="O20" i="27"/>
  <c r="P15" i="27"/>
  <c r="Y111" i="6"/>
  <c r="P20" i="27"/>
  <c r="Y109" i="6"/>
  <c r="AA111" i="6" l="1"/>
  <c r="Z111" i="6"/>
  <c r="Q15" i="27"/>
  <c r="Q20" i="27"/>
  <c r="AA109" i="6"/>
  <c r="Z109" i="6"/>
  <c r="AJ27" i="4" l="1"/>
  <c r="AJ23" i="1" l="1"/>
  <c r="AJ25" i="4"/>
  <c r="AJ7" i="4"/>
  <c r="AJ28" i="4" l="1"/>
  <c r="AJ12" i="4"/>
  <c r="AJ14" i="4" l="1"/>
  <c r="AJ19" i="1" l="1"/>
  <c r="AJ34" i="13" l="1"/>
  <c r="Z21" i="1" l="1"/>
  <c r="Y21" i="1"/>
  <c r="X21" i="1"/>
  <c r="U21" i="1"/>
  <c r="T21" i="1"/>
  <c r="S21" i="1"/>
  <c r="R21" i="1"/>
  <c r="Q21" i="1"/>
  <c r="P21" i="1"/>
  <c r="M21" i="1"/>
  <c r="L21" i="1"/>
  <c r="K21" i="1"/>
  <c r="I21" i="1"/>
  <c r="H21" i="1"/>
  <c r="E21" i="1"/>
  <c r="D21" i="1"/>
  <c r="C21" i="1"/>
  <c r="B21" i="1"/>
  <c r="X19" i="1"/>
  <c r="W19" i="1"/>
  <c r="U19" i="1"/>
  <c r="T19" i="1"/>
  <c r="S19" i="1"/>
  <c r="R19" i="1"/>
  <c r="Q19" i="1"/>
  <c r="P19" i="1"/>
  <c r="O19" i="1"/>
  <c r="M19" i="1"/>
  <c r="L19" i="1"/>
  <c r="K19" i="1"/>
  <c r="I19" i="1"/>
  <c r="H19" i="1"/>
  <c r="G19" i="1"/>
  <c r="E19" i="1"/>
  <c r="D19" i="1"/>
  <c r="C19" i="1"/>
  <c r="Z18" i="1"/>
  <c r="X18" i="1"/>
  <c r="W18" i="1"/>
  <c r="V18" i="1"/>
  <c r="U18" i="1"/>
  <c r="S18" i="1"/>
  <c r="R18" i="1"/>
  <c r="P18" i="1"/>
  <c r="O18" i="1"/>
  <c r="N18" i="1"/>
  <c r="M18" i="1"/>
  <c r="K18" i="1"/>
  <c r="J18" i="1"/>
  <c r="H18" i="1"/>
  <c r="G18" i="1"/>
  <c r="F18" i="1"/>
  <c r="E18" i="1"/>
  <c r="C18" i="1"/>
  <c r="B18" i="1"/>
  <c r="Y17" i="1"/>
  <c r="X17" i="1"/>
  <c r="W17" i="1"/>
  <c r="U17" i="1"/>
  <c r="T17" i="1"/>
  <c r="Q17" i="1"/>
  <c r="P17" i="1"/>
  <c r="O17" i="1"/>
  <c r="M17" i="1"/>
  <c r="L17" i="1"/>
  <c r="I17" i="1"/>
  <c r="H17" i="1"/>
  <c r="G17" i="1"/>
  <c r="E17" i="1"/>
  <c r="D17" i="1"/>
  <c r="C17" i="1"/>
  <c r="Z19" i="1"/>
  <c r="Y19" i="1"/>
  <c r="R38" i="6"/>
  <c r="AD17" i="1" l="1"/>
  <c r="AA17" i="1"/>
  <c r="AG18" i="1"/>
  <c r="N38" i="6"/>
  <c r="AF21" i="1"/>
  <c r="AG17" i="1"/>
  <c r="AE18" i="1"/>
  <c r="AA18" i="1"/>
  <c r="AF19" i="1"/>
  <c r="AG16" i="1"/>
  <c r="AA19" i="1"/>
  <c r="AF18" i="1"/>
  <c r="AH21" i="1"/>
  <c r="AD18" i="1"/>
  <c r="AB19" i="1"/>
  <c r="AI21" i="1"/>
  <c r="AF17" i="1"/>
  <c r="AH19" i="1"/>
  <c r="AB21" i="1"/>
  <c r="AI19" i="1"/>
  <c r="AF16" i="1"/>
  <c r="AH18" i="1"/>
  <c r="AE17" i="1"/>
  <c r="AI18" i="1"/>
  <c r="AG21" i="1"/>
  <c r="AH17" i="1"/>
  <c r="X26" i="4"/>
  <c r="X30" i="4" s="1"/>
  <c r="H15" i="4"/>
  <c r="AJ16" i="1"/>
  <c r="AJ18" i="1"/>
  <c r="D15" i="4"/>
  <c r="P15" i="4"/>
  <c r="B17" i="1"/>
  <c r="J17" i="1"/>
  <c r="R17" i="1"/>
  <c r="I18" i="1"/>
  <c r="Y18" i="1"/>
  <c r="F19" i="1"/>
  <c r="N19" i="1"/>
  <c r="V19" i="1"/>
  <c r="G21" i="1"/>
  <c r="O21" i="1"/>
  <c r="W21" i="1"/>
  <c r="AG19" i="1"/>
  <c r="AC17" i="1"/>
  <c r="V38" i="6"/>
  <c r="AH16" i="1"/>
  <c r="AD19" i="1"/>
  <c r="AC21" i="1"/>
  <c r="AE21" i="1"/>
  <c r="AI17" i="1"/>
  <c r="AC19" i="1"/>
  <c r="AE19" i="1"/>
  <c r="F17" i="1"/>
  <c r="N17" i="1"/>
  <c r="V17" i="1"/>
  <c r="B19" i="1"/>
  <c r="J19" i="1"/>
  <c r="AA21" i="1"/>
  <c r="AB17" i="1"/>
  <c r="J16" i="38"/>
  <c r="AD16" i="1"/>
  <c r="AC18" i="1"/>
  <c r="AD21" i="1"/>
  <c r="T26" i="4"/>
  <c r="T30" i="4" s="1"/>
  <c r="T15" i="4"/>
  <c r="B16" i="1"/>
  <c r="J16" i="1"/>
  <c r="R16" i="1"/>
  <c r="Z16" i="1"/>
  <c r="AI16" i="1"/>
  <c r="C16" i="1"/>
  <c r="C12" i="1"/>
  <c r="K16" i="1"/>
  <c r="S16" i="1"/>
  <c r="AA16" i="1"/>
  <c r="D16" i="1"/>
  <c r="L16" i="1"/>
  <c r="T16" i="1"/>
  <c r="AB16" i="1"/>
  <c r="F21" i="1"/>
  <c r="N21" i="1"/>
  <c r="V21" i="1"/>
  <c r="U16" i="1"/>
  <c r="U12" i="1"/>
  <c r="G15" i="38" s="1"/>
  <c r="Z17" i="1"/>
  <c r="Q18" i="1"/>
  <c r="F16" i="1"/>
  <c r="N16" i="1"/>
  <c r="V16" i="1"/>
  <c r="K17" i="1"/>
  <c r="S17" i="1"/>
  <c r="G16" i="1"/>
  <c r="O16" i="1"/>
  <c r="W16" i="1"/>
  <c r="H12" i="1"/>
  <c r="H16" i="1"/>
  <c r="P16" i="1"/>
  <c r="P12" i="1"/>
  <c r="P20" i="1" s="1"/>
  <c r="X12" i="1"/>
  <c r="J15" i="38" s="1"/>
  <c r="X16" i="1"/>
  <c r="D18" i="1"/>
  <c r="L18" i="1"/>
  <c r="T18" i="1"/>
  <c r="AB18" i="1"/>
  <c r="J21" i="1"/>
  <c r="Y38" i="6"/>
  <c r="X38" i="6"/>
  <c r="O12" i="1" l="1"/>
  <c r="O20" i="1" s="1"/>
  <c r="O28" i="1" s="1"/>
  <c r="AH12" i="1"/>
  <c r="T15" i="38" s="1"/>
  <c r="T54" i="38" s="1"/>
  <c r="X15" i="4"/>
  <c r="R124" i="6" s="1"/>
  <c r="H20" i="1"/>
  <c r="H28" i="1" s="1"/>
  <c r="AF12" i="1"/>
  <c r="R15" i="38" s="1"/>
  <c r="R59" i="38" s="1"/>
  <c r="AG12" i="1"/>
  <c r="S15" i="38" s="1"/>
  <c r="S57" i="38" s="1"/>
  <c r="AA12" i="1"/>
  <c r="M15" i="38" s="1"/>
  <c r="M58" i="38" s="1"/>
  <c r="T12" i="1"/>
  <c r="F15" i="38" s="1"/>
  <c r="F56" i="38" s="1"/>
  <c r="AI12" i="1"/>
  <c r="U15" i="38" s="1"/>
  <c r="U56" i="38" s="1"/>
  <c r="X20" i="1"/>
  <c r="X28" i="1" s="1"/>
  <c r="AD12" i="1"/>
  <c r="P15" i="38" s="1"/>
  <c r="P54" i="38" s="1"/>
  <c r="AC26" i="4"/>
  <c r="AC30" i="4" s="1"/>
  <c r="AF26" i="4"/>
  <c r="AF30" i="4" s="1"/>
  <c r="AI26" i="4"/>
  <c r="AI30" i="4" s="1"/>
  <c r="AG26" i="4"/>
  <c r="AG30" i="4" s="1"/>
  <c r="O15" i="4"/>
  <c r="Z15" i="4"/>
  <c r="R26" i="4"/>
  <c r="R30" i="4" s="1"/>
  <c r="J15" i="4"/>
  <c r="S15" i="4"/>
  <c r="K15" i="4"/>
  <c r="C20" i="1"/>
  <c r="C28" i="1" s="1"/>
  <c r="M15" i="4"/>
  <c r="AD15" i="4"/>
  <c r="G12" i="1"/>
  <c r="R12" i="1"/>
  <c r="D15" i="38" s="1"/>
  <c r="D59" i="38" s="1"/>
  <c r="F12" i="1"/>
  <c r="L12" i="1"/>
  <c r="K12" i="1"/>
  <c r="S38" i="6"/>
  <c r="W12" i="1"/>
  <c r="I15" i="38" s="1"/>
  <c r="I53" i="38" s="1"/>
  <c r="B12" i="1"/>
  <c r="B20" i="1" s="1"/>
  <c r="B28" i="1" s="1"/>
  <c r="Q38" i="6"/>
  <c r="Z12" i="1"/>
  <c r="L15" i="38" s="1"/>
  <c r="L57" i="38" s="1"/>
  <c r="E12" i="1"/>
  <c r="E16" i="1"/>
  <c r="U38" i="6"/>
  <c r="C15" i="4"/>
  <c r="N12" i="1"/>
  <c r="L59" i="38"/>
  <c r="AC16" i="1"/>
  <c r="AC12" i="1"/>
  <c r="O15" i="38" s="1"/>
  <c r="P56" i="38"/>
  <c r="P59" i="38"/>
  <c r="AE16" i="1"/>
  <c r="AE12" i="1"/>
  <c r="Q15" i="38" s="1"/>
  <c r="AG15" i="4"/>
  <c r="M55" i="38"/>
  <c r="X22" i="4"/>
  <c r="X32" i="4" s="1"/>
  <c r="Y16" i="1"/>
  <c r="Y12" i="1"/>
  <c r="K15" i="38" s="1"/>
  <c r="AB26" i="4"/>
  <c r="AB30" i="4" s="1"/>
  <c r="AB15" i="4"/>
  <c r="D55" i="38"/>
  <c r="K38" i="6"/>
  <c r="T60" i="38"/>
  <c r="T59" i="38"/>
  <c r="T56" i="38"/>
  <c r="T55" i="38"/>
  <c r="G58" i="38"/>
  <c r="G54" i="38"/>
  <c r="G56" i="38"/>
  <c r="G60" i="38"/>
  <c r="G59" i="38"/>
  <c r="G55" i="38"/>
  <c r="G57" i="38"/>
  <c r="G53" i="38"/>
  <c r="P28" i="1"/>
  <c r="S12" i="1"/>
  <c r="E15" i="38" s="1"/>
  <c r="N124" i="6"/>
  <c r="T33" i="4"/>
  <c r="T22" i="4"/>
  <c r="T32" i="4" s="1"/>
  <c r="J69" i="38"/>
  <c r="J65" i="38"/>
  <c r="J68" i="38"/>
  <c r="J70" i="38"/>
  <c r="J64" i="38"/>
  <c r="J66" i="38"/>
  <c r="J67" i="38"/>
  <c r="J63" i="38"/>
  <c r="I12" i="1"/>
  <c r="I16" i="1"/>
  <c r="P38" i="6"/>
  <c r="AE26" i="4"/>
  <c r="AE30" i="4" s="1"/>
  <c r="AE15" i="4"/>
  <c r="Z26" i="4"/>
  <c r="Z30" i="4" s="1"/>
  <c r="R53" i="38"/>
  <c r="R60" i="38"/>
  <c r="R54" i="38"/>
  <c r="R55" i="38"/>
  <c r="R56" i="38"/>
  <c r="R58" i="38"/>
  <c r="R57" i="38"/>
  <c r="L15" i="4"/>
  <c r="L20" i="1"/>
  <c r="L28" i="1" s="1"/>
  <c r="D12" i="1"/>
  <c r="D20" i="1" s="1"/>
  <c r="D28" i="1" s="1"/>
  <c r="J12" i="1"/>
  <c r="J20" i="1" s="1"/>
  <c r="J28" i="1" s="1"/>
  <c r="J57" i="38"/>
  <c r="J58" i="38"/>
  <c r="J54" i="38"/>
  <c r="J59" i="38"/>
  <c r="J53" i="38"/>
  <c r="J55" i="38"/>
  <c r="J56" i="38"/>
  <c r="J60" i="38"/>
  <c r="M16" i="1"/>
  <c r="M12" i="1"/>
  <c r="S60" i="38"/>
  <c r="Q16" i="1"/>
  <c r="Q12" i="1"/>
  <c r="C15" i="38" s="1"/>
  <c r="V12" i="1"/>
  <c r="H15" i="38" s="1"/>
  <c r="AB12" i="1"/>
  <c r="N15" i="38" s="1"/>
  <c r="AA38" i="6"/>
  <c r="M38" i="6"/>
  <c r="K16" i="38"/>
  <c r="T38" i="6"/>
  <c r="AB38" i="6"/>
  <c r="AC38" i="6"/>
  <c r="L38" i="6"/>
  <c r="Z38" i="6"/>
  <c r="W38" i="6"/>
  <c r="O38" i="6"/>
  <c r="U60" i="38" l="1"/>
  <c r="F53" i="38"/>
  <c r="F59" i="38"/>
  <c r="U57" i="38"/>
  <c r="AC15" i="4"/>
  <c r="U53" i="38"/>
  <c r="B15" i="4"/>
  <c r="AD26" i="4"/>
  <c r="AD30" i="4" s="1"/>
  <c r="T57" i="38"/>
  <c r="S26" i="4"/>
  <c r="S30" i="4" s="1"/>
  <c r="F58" i="38"/>
  <c r="AH20" i="1"/>
  <c r="AH28" i="1" s="1"/>
  <c r="U59" i="38"/>
  <c r="T53" i="38"/>
  <c r="F54" i="38"/>
  <c r="S55" i="38"/>
  <c r="T20" i="1"/>
  <c r="T28" i="1" s="1"/>
  <c r="U54" i="38"/>
  <c r="T58" i="38"/>
  <c r="X33" i="4"/>
  <c r="F60" i="38"/>
  <c r="F57" i="38"/>
  <c r="U55" i="38"/>
  <c r="U58" i="38"/>
  <c r="F55" i="38"/>
  <c r="M20" i="1"/>
  <c r="M28" i="1" s="1"/>
  <c r="S59" i="38"/>
  <c r="I60" i="38"/>
  <c r="R15" i="4"/>
  <c r="R22" i="4" s="1"/>
  <c r="R32" i="4" s="1"/>
  <c r="S58" i="38"/>
  <c r="S53" i="38"/>
  <c r="D58" i="38"/>
  <c r="E20" i="1"/>
  <c r="M59" i="38"/>
  <c r="P55" i="38"/>
  <c r="Z20" i="1"/>
  <c r="Z28" i="1" s="1"/>
  <c r="M57" i="38"/>
  <c r="P53" i="38"/>
  <c r="L54" i="38"/>
  <c r="S56" i="38"/>
  <c r="E15" i="4"/>
  <c r="M56" i="38"/>
  <c r="P57" i="38"/>
  <c r="L53" i="38"/>
  <c r="AH26" i="4"/>
  <c r="AH30" i="4" s="1"/>
  <c r="G20" i="1"/>
  <c r="G28" i="1" s="1"/>
  <c r="L55" i="38"/>
  <c r="AE20" i="1"/>
  <c r="AE28" i="1" s="1"/>
  <c r="AD20" i="1"/>
  <c r="AD28" i="1" s="1"/>
  <c r="M54" i="38"/>
  <c r="M53" i="38"/>
  <c r="P58" i="38"/>
  <c r="L56" i="38"/>
  <c r="AH15" i="4"/>
  <c r="S54" i="38"/>
  <c r="M60" i="38"/>
  <c r="AG20" i="1"/>
  <c r="AG28" i="1" s="1"/>
  <c r="P60" i="38"/>
  <c r="L60" i="38"/>
  <c r="D57" i="38"/>
  <c r="I54" i="38"/>
  <c r="I56" i="38"/>
  <c r="R20" i="1"/>
  <c r="R28" i="1" s="1"/>
  <c r="D60" i="38"/>
  <c r="I58" i="38"/>
  <c r="I55" i="38"/>
  <c r="D56" i="38"/>
  <c r="I57" i="38"/>
  <c r="G15" i="4"/>
  <c r="D54" i="38"/>
  <c r="W20" i="1"/>
  <c r="W28" i="1" s="1"/>
  <c r="I59" i="38"/>
  <c r="K20" i="1"/>
  <c r="K28" i="1" s="1"/>
  <c r="D53" i="38"/>
  <c r="L58" i="38"/>
  <c r="H35" i="36"/>
  <c r="AI20" i="1"/>
  <c r="AI28" i="1" s="1"/>
  <c r="AI15" i="4"/>
  <c r="AC124" i="6" s="1"/>
  <c r="F16" i="38"/>
  <c r="D26" i="36"/>
  <c r="AF20" i="1"/>
  <c r="AF28" i="1" s="1"/>
  <c r="AF15" i="4"/>
  <c r="AF22" i="4" s="1"/>
  <c r="AF32" i="4" s="1"/>
  <c r="AC20" i="1"/>
  <c r="AC28" i="1" s="1"/>
  <c r="W15" i="4"/>
  <c r="W26" i="4"/>
  <c r="W30" i="4" s="1"/>
  <c r="N54" i="38"/>
  <c r="N58" i="38"/>
  <c r="N59" i="38"/>
  <c r="N56" i="38"/>
  <c r="N57" i="38"/>
  <c r="N55" i="38"/>
  <c r="N60" i="38"/>
  <c r="N53" i="38"/>
  <c r="U26" i="4"/>
  <c r="U30" i="4" s="1"/>
  <c r="U15" i="4"/>
  <c r="U20" i="1"/>
  <c r="U28" i="1" s="1"/>
  <c r="Q26" i="4"/>
  <c r="Q30" i="4" s="1"/>
  <c r="Q15" i="4"/>
  <c r="Q20" i="1"/>
  <c r="Q28" i="1" s="1"/>
  <c r="V124" i="6"/>
  <c r="AB22" i="4"/>
  <c r="AB32" i="4" s="1"/>
  <c r="AB33" i="4"/>
  <c r="C16" i="38"/>
  <c r="P28" i="36"/>
  <c r="B34" i="36"/>
  <c r="B38" i="36"/>
  <c r="P27" i="36"/>
  <c r="B25" i="36"/>
  <c r="P26" i="36"/>
  <c r="B26" i="36"/>
  <c r="B36" i="36"/>
  <c r="B28" i="36"/>
  <c r="B37" i="36"/>
  <c r="B39" i="36"/>
  <c r="B27" i="36"/>
  <c r="P25" i="36"/>
  <c r="B35" i="36"/>
  <c r="Q55" i="38"/>
  <c r="Q54" i="38"/>
  <c r="Q56" i="38"/>
  <c r="Q58" i="38"/>
  <c r="Q53" i="38"/>
  <c r="Q57" i="38"/>
  <c r="Q60" i="38"/>
  <c r="Q59" i="38"/>
  <c r="V15" i="4"/>
  <c r="V26" i="4"/>
  <c r="V30" i="4" s="1"/>
  <c r="V20" i="1"/>
  <c r="V28" i="1" s="1"/>
  <c r="R33" i="4"/>
  <c r="H27" i="36"/>
  <c r="V28" i="36"/>
  <c r="H37" i="36"/>
  <c r="H39" i="36"/>
  <c r="E53" i="38"/>
  <c r="E55" i="38"/>
  <c r="E59" i="38"/>
  <c r="E57" i="38"/>
  <c r="E54" i="38"/>
  <c r="E56" i="38"/>
  <c r="E58" i="38"/>
  <c r="E60" i="38"/>
  <c r="I20" i="1"/>
  <c r="I28" i="1" s="1"/>
  <c r="I15" i="4"/>
  <c r="AB20" i="1"/>
  <c r="AB28" i="1" s="1"/>
  <c r="AH22" i="4"/>
  <c r="AB124" i="6"/>
  <c r="S33" i="4"/>
  <c r="S22" i="4"/>
  <c r="S32" i="4" s="1"/>
  <c r="M124" i="6"/>
  <c r="Z22" i="4"/>
  <c r="Z32" i="4" s="1"/>
  <c r="Z33" i="4"/>
  <c r="T124" i="6"/>
  <c r="X124" i="6"/>
  <c r="AD22" i="4"/>
  <c r="AG22" i="4"/>
  <c r="AG32" i="4" s="1"/>
  <c r="AG33" i="4"/>
  <c r="AA124" i="6"/>
  <c r="C58" i="38"/>
  <c r="C54" i="38"/>
  <c r="C59" i="38"/>
  <c r="C56" i="38"/>
  <c r="C57" i="38"/>
  <c r="C60" i="38"/>
  <c r="C53" i="38"/>
  <c r="C55" i="38"/>
  <c r="AI33" i="4"/>
  <c r="K70" i="38"/>
  <c r="K63" i="38"/>
  <c r="K67" i="38"/>
  <c r="K69" i="38"/>
  <c r="K66" i="38"/>
  <c r="K65" i="38"/>
  <c r="K64" i="38"/>
  <c r="K68" i="38"/>
  <c r="R27" i="36"/>
  <c r="D38" i="36"/>
  <c r="D34" i="36"/>
  <c r="D28" i="36"/>
  <c r="R25" i="36"/>
  <c r="H58" i="38"/>
  <c r="H53" i="38"/>
  <c r="H55" i="38"/>
  <c r="H59" i="38"/>
  <c r="H60" i="38"/>
  <c r="H57" i="38"/>
  <c r="H56" i="38"/>
  <c r="H54" i="38"/>
  <c r="W124" i="6"/>
  <c r="AC22" i="4"/>
  <c r="AC32" i="4" s="1"/>
  <c r="AC33" i="4"/>
  <c r="Y20" i="1"/>
  <c r="Y28" i="1" s="1"/>
  <c r="Y15" i="4"/>
  <c r="Y26" i="4"/>
  <c r="Y30" i="4" s="1"/>
  <c r="Z124" i="6"/>
  <c r="E28" i="1"/>
  <c r="Y124" i="6"/>
  <c r="AE22" i="4"/>
  <c r="AE32" i="4" s="1"/>
  <c r="AE33" i="4"/>
  <c r="O60" i="38"/>
  <c r="O57" i="38"/>
  <c r="O55" i="38"/>
  <c r="O58" i="38"/>
  <c r="O53" i="38"/>
  <c r="O56" i="38"/>
  <c r="O54" i="38"/>
  <c r="O59" i="38"/>
  <c r="AA20" i="1"/>
  <c r="AA28" i="1" s="1"/>
  <c r="AA26" i="4"/>
  <c r="AA30" i="4" s="1"/>
  <c r="AA15" i="4"/>
  <c r="AJ21" i="1"/>
  <c r="N15" i="4"/>
  <c r="N20" i="1"/>
  <c r="N28" i="1" s="1"/>
  <c r="F20" i="1"/>
  <c r="F28" i="1" s="1"/>
  <c r="F15" i="4"/>
  <c r="K53" i="38"/>
  <c r="K60" i="38"/>
  <c r="K59" i="38"/>
  <c r="K54" i="38"/>
  <c r="K58" i="38"/>
  <c r="K57" i="38"/>
  <c r="K55" i="38"/>
  <c r="K56" i="38"/>
  <c r="S20" i="1"/>
  <c r="S28" i="1" s="1"/>
  <c r="E16" i="38"/>
  <c r="D16" i="38"/>
  <c r="L16" i="38"/>
  <c r="AD33" i="4" l="1"/>
  <c r="AD32" i="4"/>
  <c r="AF33" i="4"/>
  <c r="D35" i="36"/>
  <c r="M16" i="38"/>
  <c r="M70" i="38" s="1"/>
  <c r="H25" i="36"/>
  <c r="H26" i="36"/>
  <c r="L124" i="6"/>
  <c r="D37" i="36"/>
  <c r="AI22" i="4"/>
  <c r="AI32" i="4" s="1"/>
  <c r="H38" i="36"/>
  <c r="H36" i="36"/>
  <c r="V25" i="36"/>
  <c r="D25" i="36"/>
  <c r="R26" i="36"/>
  <c r="D27" i="36"/>
  <c r="D39" i="36"/>
  <c r="V27" i="36"/>
  <c r="V26" i="36"/>
  <c r="H34" i="36"/>
  <c r="R28" i="36"/>
  <c r="D36" i="36"/>
  <c r="H28" i="36"/>
  <c r="Q16" i="38"/>
  <c r="Q67" i="38" s="1"/>
  <c r="AH33" i="4"/>
  <c r="AH32" i="4"/>
  <c r="F65" i="38"/>
  <c r="F69" i="38"/>
  <c r="F68" i="38"/>
  <c r="F64" i="38"/>
  <c r="F70" i="38"/>
  <c r="F63" i="38"/>
  <c r="F67" i="38"/>
  <c r="F66" i="38"/>
  <c r="J25" i="36"/>
  <c r="R16" i="38"/>
  <c r="L26" i="36"/>
  <c r="K34" i="36"/>
  <c r="W33" i="4"/>
  <c r="Q124" i="6"/>
  <c r="W22" i="4"/>
  <c r="W32" i="4" s="1"/>
  <c r="I16" i="38"/>
  <c r="M65" i="38"/>
  <c r="U33" i="4"/>
  <c r="U22" i="4"/>
  <c r="U32" i="4" s="1"/>
  <c r="O124" i="6"/>
  <c r="G16" i="38"/>
  <c r="L34" i="36"/>
  <c r="D70" i="38"/>
  <c r="D64" i="38"/>
  <c r="D67" i="38"/>
  <c r="D68" i="38"/>
  <c r="D69" i="38"/>
  <c r="D66" i="38"/>
  <c r="D63" i="38"/>
  <c r="D65" i="38"/>
  <c r="X25" i="36"/>
  <c r="X27" i="36"/>
  <c r="X28" i="36"/>
  <c r="J34" i="36"/>
  <c r="J27" i="36"/>
  <c r="J37" i="36"/>
  <c r="J36" i="36"/>
  <c r="S16" i="38"/>
  <c r="X26" i="36"/>
  <c r="J38" i="36"/>
  <c r="J28" i="36"/>
  <c r="J26" i="36"/>
  <c r="Y22" i="4"/>
  <c r="Y32" i="4" s="1"/>
  <c r="Y33" i="4"/>
  <c r="S124" i="6"/>
  <c r="P124" i="6"/>
  <c r="V22" i="4"/>
  <c r="V32" i="4" s="1"/>
  <c r="V33" i="4"/>
  <c r="W26" i="36"/>
  <c r="I34" i="36"/>
  <c r="I26" i="36"/>
  <c r="I36" i="36"/>
  <c r="I39" i="36"/>
  <c r="I35" i="36"/>
  <c r="I37" i="36"/>
  <c r="W28" i="36"/>
  <c r="W25" i="36"/>
  <c r="I25" i="36"/>
  <c r="W27" i="36"/>
  <c r="I28" i="36"/>
  <c r="H16" i="38"/>
  <c r="C39" i="36"/>
  <c r="C37" i="36"/>
  <c r="C36" i="36"/>
  <c r="Q26" i="36"/>
  <c r="C26" i="36"/>
  <c r="C34" i="36"/>
  <c r="C27" i="36"/>
  <c r="C38" i="36"/>
  <c r="Q28" i="36"/>
  <c r="Q27" i="36"/>
  <c r="C25" i="36"/>
  <c r="C35" i="36"/>
  <c r="C28" i="36"/>
  <c r="Q25" i="36"/>
  <c r="Q22" i="4"/>
  <c r="Q32" i="4" s="1"/>
  <c r="Q33" i="4"/>
  <c r="K124" i="6"/>
  <c r="T125" i="6" s="1"/>
  <c r="S25" i="36"/>
  <c r="E28" i="36"/>
  <c r="E38" i="36"/>
  <c r="E36" i="36"/>
  <c r="S26" i="36"/>
  <c r="E25" i="36"/>
  <c r="S27" i="36"/>
  <c r="E39" i="36"/>
  <c r="E37" i="36"/>
  <c r="N16" i="38"/>
  <c r="E26" i="36"/>
  <c r="E35" i="36"/>
  <c r="E27" i="36"/>
  <c r="E34" i="36"/>
  <c r="S28" i="36"/>
  <c r="L67" i="38"/>
  <c r="L68" i="38"/>
  <c r="L64" i="38"/>
  <c r="L70" i="38"/>
  <c r="L69" i="38"/>
  <c r="L65" i="38"/>
  <c r="L66" i="38"/>
  <c r="L63" i="38"/>
  <c r="G26" i="36"/>
  <c r="P16" i="38"/>
  <c r="G39" i="36"/>
  <c r="G35" i="36"/>
  <c r="U27" i="36"/>
  <c r="G28" i="36"/>
  <c r="G36" i="36"/>
  <c r="G27" i="36"/>
  <c r="U26" i="36"/>
  <c r="G25" i="36"/>
  <c r="G38" i="36"/>
  <c r="G34" i="36"/>
  <c r="G37" i="36"/>
  <c r="U25" i="36"/>
  <c r="U28" i="36"/>
  <c r="AA33" i="4"/>
  <c r="AA22" i="4"/>
  <c r="AA32" i="4" s="1"/>
  <c r="U124" i="6"/>
  <c r="E64" i="38"/>
  <c r="E70" i="38"/>
  <c r="E67" i="38"/>
  <c r="E65" i="38"/>
  <c r="E68" i="38"/>
  <c r="E63" i="38"/>
  <c r="E66" i="38"/>
  <c r="E69" i="38"/>
  <c r="C68" i="38"/>
  <c r="C70" i="38"/>
  <c r="C65" i="38"/>
  <c r="C69" i="38"/>
  <c r="C66" i="38"/>
  <c r="C64" i="38"/>
  <c r="C63" i="38"/>
  <c r="C67" i="38"/>
  <c r="M66" i="38" l="1"/>
  <c r="Q69" i="38"/>
  <c r="M68" i="38"/>
  <c r="Q68" i="38"/>
  <c r="Z25" i="36"/>
  <c r="M63" i="38"/>
  <c r="M69" i="38"/>
  <c r="Q65" i="38"/>
  <c r="Z28" i="36"/>
  <c r="M67" i="38"/>
  <c r="M64" i="38"/>
  <c r="Z27" i="36"/>
  <c r="L125" i="6"/>
  <c r="Q64" i="38"/>
  <c r="Z26" i="36"/>
  <c r="L27" i="36"/>
  <c r="Q70" i="38"/>
  <c r="Q63" i="38"/>
  <c r="L25" i="36"/>
  <c r="L37" i="36"/>
  <c r="Q66" i="38"/>
  <c r="U16" i="38"/>
  <c r="U67" i="38" s="1"/>
  <c r="L39" i="36"/>
  <c r="K39" i="36"/>
  <c r="Y28" i="36"/>
  <c r="K27" i="36"/>
  <c r="K35" i="36"/>
  <c r="K37" i="36"/>
  <c r="T16" i="38"/>
  <c r="T65" i="38" s="1"/>
  <c r="I27" i="36"/>
  <c r="J35" i="36"/>
  <c r="L35" i="36"/>
  <c r="L28" i="36"/>
  <c r="K28" i="36"/>
  <c r="I38" i="36"/>
  <c r="J39" i="36"/>
  <c r="L36" i="36"/>
  <c r="L38" i="36"/>
  <c r="K25" i="36"/>
  <c r="Y27" i="36"/>
  <c r="K26" i="36"/>
  <c r="K38" i="36"/>
  <c r="Y26" i="36"/>
  <c r="Y25" i="36"/>
  <c r="K36" i="36"/>
  <c r="AA125" i="6"/>
  <c r="I70" i="38"/>
  <c r="I69" i="38"/>
  <c r="I68" i="38"/>
  <c r="I64" i="38"/>
  <c r="I65" i="38"/>
  <c r="I63" i="38"/>
  <c r="I66" i="38"/>
  <c r="I67" i="38"/>
  <c r="Z125" i="6"/>
  <c r="U64" i="38"/>
  <c r="N67" i="38"/>
  <c r="N64" i="38"/>
  <c r="N63" i="38"/>
  <c r="N65" i="38"/>
  <c r="N66" i="38"/>
  <c r="N69" i="38"/>
  <c r="N70" i="38"/>
  <c r="N68" i="38"/>
  <c r="K125" i="6"/>
  <c r="N125" i="6"/>
  <c r="Q125" i="6"/>
  <c r="R125" i="6"/>
  <c r="H65" i="38"/>
  <c r="H70" i="38"/>
  <c r="H66" i="38"/>
  <c r="H67" i="38"/>
  <c r="H64" i="38"/>
  <c r="H68" i="38"/>
  <c r="H69" i="38"/>
  <c r="H63" i="38"/>
  <c r="O125" i="6"/>
  <c r="X125" i="6"/>
  <c r="W125" i="6"/>
  <c r="S125" i="6"/>
  <c r="M125" i="6"/>
  <c r="AB125" i="6"/>
  <c r="V125" i="6"/>
  <c r="Y125" i="6"/>
  <c r="P125" i="6"/>
  <c r="S64" i="38"/>
  <c r="S67" i="38"/>
  <c r="S70" i="38"/>
  <c r="S63" i="38"/>
  <c r="S68" i="38"/>
  <c r="S65" i="38"/>
  <c r="S66" i="38"/>
  <c r="S69" i="38"/>
  <c r="R66" i="38"/>
  <c r="R69" i="38"/>
  <c r="R65" i="38"/>
  <c r="R64" i="38"/>
  <c r="R70" i="38"/>
  <c r="R68" i="38"/>
  <c r="R67" i="38"/>
  <c r="R63" i="38"/>
  <c r="AC125" i="6"/>
  <c r="U125" i="6"/>
  <c r="P69" i="38"/>
  <c r="P67" i="38"/>
  <c r="P68" i="38"/>
  <c r="P63" i="38"/>
  <c r="P64" i="38"/>
  <c r="P65" i="38"/>
  <c r="P66" i="38"/>
  <c r="P70" i="38"/>
  <c r="G67" i="38"/>
  <c r="G64" i="38"/>
  <c r="G63" i="38"/>
  <c r="G70" i="38"/>
  <c r="G65" i="38"/>
  <c r="G66" i="38"/>
  <c r="G69" i="38"/>
  <c r="G68" i="38"/>
  <c r="F38" i="36"/>
  <c r="F36" i="36"/>
  <c r="T26" i="36"/>
  <c r="F28" i="36"/>
  <c r="F25" i="36"/>
  <c r="T28" i="36"/>
  <c r="T25" i="36"/>
  <c r="F34" i="36"/>
  <c r="F35" i="36"/>
  <c r="F39" i="36"/>
  <c r="F27" i="36"/>
  <c r="F37" i="36"/>
  <c r="O16" i="38"/>
  <c r="F26" i="36"/>
  <c r="T27" i="36"/>
  <c r="U68" i="38" l="1"/>
  <c r="U66" i="38"/>
  <c r="U69" i="38"/>
  <c r="U70" i="38"/>
  <c r="U65" i="38"/>
  <c r="U63" i="38"/>
  <c r="T68" i="38"/>
  <c r="T67" i="38"/>
  <c r="T69" i="38"/>
  <c r="T66" i="38"/>
  <c r="T70" i="38"/>
  <c r="T63" i="38"/>
  <c r="T64" i="38"/>
  <c r="R21" i="24"/>
  <c r="R24" i="24"/>
  <c r="R23" i="24"/>
  <c r="R22" i="24"/>
  <c r="R25" i="24"/>
  <c r="AJ17" i="1"/>
  <c r="O67" i="38"/>
  <c r="O63" i="38"/>
  <c r="O66" i="38"/>
  <c r="O68" i="38"/>
  <c r="O69" i="38"/>
  <c r="O65" i="38"/>
  <c r="O64" i="38"/>
  <c r="O70" i="38"/>
  <c r="AJ12" i="1" l="1"/>
  <c r="AC20" i="35" s="1"/>
  <c r="AC40" i="35" s="1"/>
  <c r="F22" i="24"/>
  <c r="F21" i="24"/>
  <c r="F24" i="24"/>
  <c r="F25" i="24"/>
  <c r="F23" i="24"/>
  <c r="AC13" i="35"/>
  <c r="AC6" i="35" l="1"/>
  <c r="N22" i="24"/>
  <c r="N21" i="24"/>
  <c r="N23" i="24"/>
  <c r="N24" i="24"/>
  <c r="N25" i="24"/>
  <c r="AJ31" i="13"/>
  <c r="J25" i="24"/>
  <c r="J24" i="24"/>
  <c r="J22" i="24"/>
  <c r="J23" i="24"/>
  <c r="J21" i="24"/>
  <c r="U37" i="36"/>
  <c r="X52" i="24" s="1"/>
  <c r="U36" i="36"/>
  <c r="U34" i="36"/>
  <c r="U35" i="36"/>
  <c r="AD83" i="6"/>
  <c r="AD92" i="6" s="1"/>
  <c r="U16" i="27" s="1"/>
  <c r="AJ34" i="4" s="1"/>
  <c r="R37" i="36"/>
  <c r="U52" i="24" s="1"/>
  <c r="R36" i="36"/>
  <c r="R35" i="36"/>
  <c r="R34" i="36"/>
  <c r="AD82" i="6"/>
  <c r="AD91" i="6" s="1"/>
  <c r="U14" i="27" s="1"/>
  <c r="S37" i="36"/>
  <c r="V52" i="24" s="1"/>
  <c r="S35" i="36"/>
  <c r="S36" i="36"/>
  <c r="S34" i="36"/>
  <c r="U24" i="24"/>
  <c r="U25" i="24"/>
  <c r="U21" i="24"/>
  <c r="U22" i="24"/>
  <c r="U23" i="24"/>
  <c r="AC33" i="35"/>
  <c r="AC26" i="35"/>
  <c r="V21" i="24"/>
  <c r="V24" i="24"/>
  <c r="V22" i="24"/>
  <c r="V25" i="24"/>
  <c r="V23" i="24"/>
  <c r="P21" i="24"/>
  <c r="P24" i="24"/>
  <c r="P22" i="24"/>
  <c r="P23" i="24"/>
  <c r="P25" i="24"/>
  <c r="S23" i="24"/>
  <c r="S24" i="24"/>
  <c r="S21" i="24"/>
  <c r="S22" i="24"/>
  <c r="S25" i="24"/>
  <c r="Q36" i="36"/>
  <c r="Q34" i="36"/>
  <c r="Q35" i="36"/>
  <c r="Q37" i="36"/>
  <c r="P52" i="24" s="1"/>
  <c r="P35" i="36"/>
  <c r="P34" i="36"/>
  <c r="P36" i="36"/>
  <c r="P37" i="36"/>
  <c r="K52" i="24" s="1"/>
  <c r="K22" i="24"/>
  <c r="K23" i="24"/>
  <c r="K24" i="24"/>
  <c r="K25" i="24"/>
  <c r="K21" i="24"/>
  <c r="X22" i="24"/>
  <c r="X25" i="24"/>
  <c r="X24" i="24"/>
  <c r="X23" i="24"/>
  <c r="X21" i="24"/>
  <c r="AJ33" i="13" l="1"/>
  <c r="Q21" i="24"/>
  <c r="Q23" i="24"/>
  <c r="Q25" i="24"/>
  <c r="Q24" i="24"/>
  <c r="Q22" i="24"/>
  <c r="V57" i="24"/>
  <c r="V54" i="24"/>
  <c r="V56" i="24"/>
  <c r="BC55" i="24" s="1"/>
  <c r="V58" i="24"/>
  <c r="V60" i="24"/>
  <c r="V55" i="24"/>
  <c r="V59" i="24"/>
  <c r="L22" i="24"/>
  <c r="L21" i="24"/>
  <c r="L23" i="24"/>
  <c r="L24" i="24"/>
  <c r="L25" i="24"/>
  <c r="U58" i="24"/>
  <c r="U59" i="24"/>
  <c r="U60" i="24"/>
  <c r="U55" i="24"/>
  <c r="U54" i="24"/>
  <c r="U57" i="24"/>
  <c r="U56" i="24"/>
  <c r="BB55" i="24" s="1"/>
  <c r="X26" i="24"/>
  <c r="I23" i="24"/>
  <c r="I22" i="24"/>
  <c r="I24" i="24"/>
  <c r="I25" i="24"/>
  <c r="I21" i="24"/>
  <c r="T23" i="24"/>
  <c r="T22" i="24"/>
  <c r="T25" i="24"/>
  <c r="T24" i="24"/>
  <c r="T21" i="24"/>
  <c r="AB25" i="24"/>
  <c r="AB21" i="24"/>
  <c r="AB24" i="24"/>
  <c r="AB23" i="24"/>
  <c r="AB22" i="24"/>
  <c r="U8" i="27"/>
  <c r="AD80" i="6"/>
  <c r="AD101" i="6"/>
  <c r="U11" i="27"/>
  <c r="AD102" i="6"/>
  <c r="U10" i="27"/>
  <c r="T34" i="36"/>
  <c r="T37" i="36"/>
  <c r="W52" i="24" s="1"/>
  <c r="T35" i="36"/>
  <c r="T36" i="36"/>
  <c r="Y35" i="36"/>
  <c r="Y36" i="36"/>
  <c r="Y34" i="36"/>
  <c r="Y37" i="36"/>
  <c r="AB52" i="24" s="1"/>
  <c r="G24" i="24"/>
  <c r="G25" i="24"/>
  <c r="G21" i="24"/>
  <c r="G22" i="24"/>
  <c r="G23" i="24"/>
  <c r="X35" i="36"/>
  <c r="X36" i="36"/>
  <c r="X37" i="36"/>
  <c r="AA52" i="24" s="1"/>
  <c r="X34" i="36"/>
  <c r="Z37" i="36"/>
  <c r="AC52" i="24" s="1"/>
  <c r="Z34" i="36"/>
  <c r="Z36" i="36"/>
  <c r="Z35" i="36"/>
  <c r="X56" i="24"/>
  <c r="BE55" i="24" s="1"/>
  <c r="X59" i="24"/>
  <c r="X54" i="24"/>
  <c r="X60" i="24"/>
  <c r="X57" i="24"/>
  <c r="X55" i="24"/>
  <c r="X58" i="24"/>
  <c r="W25" i="24"/>
  <c r="W22" i="24"/>
  <c r="W21" i="24"/>
  <c r="W23" i="24"/>
  <c r="W24" i="24"/>
  <c r="AA27" i="36"/>
  <c r="AA26" i="36"/>
  <c r="H23" i="24"/>
  <c r="H22" i="24"/>
  <c r="H21" i="24"/>
  <c r="H25" i="24"/>
  <c r="H24" i="24"/>
  <c r="AA24" i="24"/>
  <c r="AA22" i="24"/>
  <c r="AA23" i="24"/>
  <c r="AA21" i="24"/>
  <c r="AA25" i="24"/>
  <c r="AC25" i="24"/>
  <c r="AD25" i="24" s="1"/>
  <c r="AE25" i="24" s="1"/>
  <c r="AC23" i="24"/>
  <c r="AD23" i="24" s="1"/>
  <c r="AE23" i="24" s="1"/>
  <c r="AC22" i="24"/>
  <c r="AD22" i="24" s="1"/>
  <c r="AE22" i="24" s="1"/>
  <c r="AC21" i="24"/>
  <c r="AD21" i="24" s="1"/>
  <c r="AE21" i="24" s="1"/>
  <c r="AC24" i="24"/>
  <c r="P56" i="24"/>
  <c r="BA55" i="24" s="1"/>
  <c r="P54" i="24"/>
  <c r="P57" i="24"/>
  <c r="P59" i="24"/>
  <c r="P55" i="24"/>
  <c r="P60" i="24"/>
  <c r="P58" i="24"/>
  <c r="K60" i="24"/>
  <c r="K57" i="24"/>
  <c r="K58" i="24"/>
  <c r="K59" i="24"/>
  <c r="K55" i="24"/>
  <c r="K54" i="24"/>
  <c r="K56" i="24"/>
  <c r="AZ55" i="24" s="1"/>
  <c r="M24" i="24"/>
  <c r="M21" i="24"/>
  <c r="M25" i="24"/>
  <c r="M22" i="24"/>
  <c r="M23" i="24"/>
  <c r="O24" i="24"/>
  <c r="O21" i="24"/>
  <c r="O25" i="24"/>
  <c r="O22" i="24"/>
  <c r="O23" i="24"/>
  <c r="AD51" i="6" l="1"/>
  <c r="AD52" i="6" s="1"/>
  <c r="AD60" i="6" s="1"/>
  <c r="AD36" i="6"/>
  <c r="AD37" i="6" s="1"/>
  <c r="AG54" i="24"/>
  <c r="AZ53" i="24"/>
  <c r="AE9" i="24"/>
  <c r="AE6" i="24"/>
  <c r="AE7" i="24"/>
  <c r="AE5" i="24"/>
  <c r="AL57" i="24"/>
  <c r="BE57" i="24"/>
  <c r="AI54" i="24"/>
  <c r="BB53" i="24"/>
  <c r="BC53" i="24"/>
  <c r="AJ54" i="24"/>
  <c r="AZ54" i="24"/>
  <c r="AG55" i="24"/>
  <c r="AD24" i="24"/>
  <c r="AC26" i="24"/>
  <c r="BE54" i="24"/>
  <c r="AL55" i="24"/>
  <c r="BB54" i="24"/>
  <c r="AI55" i="24"/>
  <c r="AJ56" i="24"/>
  <c r="BC56" i="24"/>
  <c r="AZ58" i="24"/>
  <c r="AG58" i="24"/>
  <c r="AH57" i="24"/>
  <c r="BA57" i="24"/>
  <c r="AA26" i="24"/>
  <c r="AL56" i="24"/>
  <c r="BE56" i="24"/>
  <c r="AC59" i="24"/>
  <c r="AC56" i="24"/>
  <c r="AC54" i="24"/>
  <c r="AC58" i="24"/>
  <c r="AC60" i="24"/>
  <c r="AC63" i="24" s="1"/>
  <c r="AC55" i="24"/>
  <c r="AC57" i="24"/>
  <c r="W55" i="24"/>
  <c r="W57" i="24"/>
  <c r="W56" i="24"/>
  <c r="BD55" i="24" s="1"/>
  <c r="W60" i="24"/>
  <c r="W54" i="24"/>
  <c r="W58" i="24"/>
  <c r="W59" i="24"/>
  <c r="AB26" i="24"/>
  <c r="U63" i="24"/>
  <c r="BA59" i="24"/>
  <c r="BA53" i="24"/>
  <c r="AH54" i="24"/>
  <c r="AI56" i="24"/>
  <c r="BB56" i="24"/>
  <c r="AZ57" i="24"/>
  <c r="AG57" i="24"/>
  <c r="AZ59" i="24"/>
  <c r="P63" i="24"/>
  <c r="BD59" i="24"/>
  <c r="X63" i="24"/>
  <c r="BB58" i="24"/>
  <c r="AI58" i="24"/>
  <c r="BC58" i="24"/>
  <c r="AJ58" i="24"/>
  <c r="AZ56" i="24"/>
  <c r="AG56" i="24"/>
  <c r="BA54" i="24"/>
  <c r="AH55" i="24"/>
  <c r="AL54" i="24"/>
  <c r="BE53" i="24"/>
  <c r="AA59" i="24"/>
  <c r="AA56" i="24"/>
  <c r="AA58" i="24"/>
  <c r="AA54" i="24"/>
  <c r="AA55" i="24"/>
  <c r="AA60" i="24"/>
  <c r="AA57" i="24"/>
  <c r="AB60" i="24"/>
  <c r="AB63" i="24" s="1"/>
  <c r="AB56" i="24"/>
  <c r="AB57" i="24"/>
  <c r="AB55" i="24"/>
  <c r="AB54" i="24"/>
  <c r="AB58" i="24"/>
  <c r="AB59" i="24"/>
  <c r="AI57" i="24"/>
  <c r="BB57" i="24"/>
  <c r="BC54" i="24"/>
  <c r="AJ55" i="24"/>
  <c r="AY59" i="24"/>
  <c r="K63" i="24"/>
  <c r="BA58" i="24"/>
  <c r="AH58" i="24"/>
  <c r="BE58" i="24"/>
  <c r="AL58" i="24"/>
  <c r="V63" i="24"/>
  <c r="BB59" i="24"/>
  <c r="BA56" i="24"/>
  <c r="AH56" i="24"/>
  <c r="BC57" i="24"/>
  <c r="AJ57" i="24"/>
  <c r="AE11" i="24" l="1"/>
  <c r="AJ9" i="4"/>
  <c r="AJ21" i="19" s="1"/>
  <c r="AD89" i="6"/>
  <c r="U19" i="27" s="1"/>
  <c r="BD58" i="24"/>
  <c r="AK58" i="24"/>
  <c r="AH59" i="24"/>
  <c r="AQ56" i="24" s="1"/>
  <c r="BD57" i="24"/>
  <c r="AK57" i="24"/>
  <c r="AJ59" i="24"/>
  <c r="AS58" i="24" s="1"/>
  <c r="AK54" i="24"/>
  <c r="BD53" i="24"/>
  <c r="AL59" i="24"/>
  <c r="AU55" i="24" s="1"/>
  <c r="AA35" i="36"/>
  <c r="AA36" i="36"/>
  <c r="BC59" i="24"/>
  <c r="W63" i="24"/>
  <c r="AA63" i="24"/>
  <c r="BG59" i="24"/>
  <c r="AD5" i="24"/>
  <c r="AD6" i="24"/>
  <c r="AD7" i="24"/>
  <c r="AD9" i="24"/>
  <c r="AD8" i="24"/>
  <c r="AI59" i="24"/>
  <c r="AR57" i="24" s="1"/>
  <c r="AK56" i="24"/>
  <c r="BD56" i="24"/>
  <c r="BD54" i="24"/>
  <c r="AK55" i="24"/>
  <c r="AE24" i="24"/>
  <c r="AD26" i="24"/>
  <c r="AD10" i="24" s="1"/>
  <c r="AU56" i="24"/>
  <c r="AG59" i="24"/>
  <c r="AP58" i="24" s="1"/>
  <c r="AD38" i="6"/>
  <c r="AR54" i="24" l="1"/>
  <c r="AJ20" i="1"/>
  <c r="AJ28" i="1" s="1"/>
  <c r="AJ32" i="13"/>
  <c r="AJ15" i="4"/>
  <c r="AJ22" i="4" s="1"/>
  <c r="AD63" i="6"/>
  <c r="AD75" i="6" s="1"/>
  <c r="AU57" i="24"/>
  <c r="AU58" i="24"/>
  <c r="AD43" i="6"/>
  <c r="AD11" i="24"/>
  <c r="AR58" i="24"/>
  <c r="AP57" i="24"/>
  <c r="AA5" i="36"/>
  <c r="AQ58" i="24"/>
  <c r="AR55" i="24"/>
  <c r="AS57" i="24"/>
  <c r="AS54" i="24"/>
  <c r="AJ25" i="19"/>
  <c r="AJ22" i="19"/>
  <c r="AJ23" i="19" s="1"/>
  <c r="AJ27" i="19"/>
  <c r="AQ55" i="24"/>
  <c r="AQ57" i="24"/>
  <c r="AE26" i="24"/>
  <c r="AE10" i="24" s="1"/>
  <c r="AE8" i="24"/>
  <c r="AR56" i="24"/>
  <c r="AP54" i="24"/>
  <c r="AK59" i="24"/>
  <c r="AT56" i="24" s="1"/>
  <c r="AQ54" i="24"/>
  <c r="AS56" i="24"/>
  <c r="AP55" i="24"/>
  <c r="AP56" i="24"/>
  <c r="AU54" i="24"/>
  <c r="AS55" i="24"/>
  <c r="AD66" i="6" l="1"/>
  <c r="AD64" i="6"/>
  <c r="AD65" i="6" s="1"/>
  <c r="AD73" i="6" s="1"/>
  <c r="AA8" i="36"/>
  <c r="AA25" i="36"/>
  <c r="AA34" i="36"/>
  <c r="AJ36" i="13"/>
  <c r="AT57" i="24"/>
  <c r="AT55" i="24"/>
  <c r="AD42" i="6"/>
  <c r="AD46" i="6"/>
  <c r="AT58" i="24"/>
  <c r="AJ26" i="19"/>
  <c r="AJ28" i="19" s="1"/>
  <c r="AJ29" i="19" s="1"/>
  <c r="AJ30" i="19" s="1"/>
  <c r="AT54" i="24"/>
  <c r="AD67" i="6" l="1"/>
  <c r="AD68" i="6" s="1"/>
  <c r="AD76" i="6"/>
  <c r="AA28" i="36"/>
  <c r="AA37" i="36"/>
  <c r="M5" i="36"/>
  <c r="AD41" i="6"/>
  <c r="AD40" i="6"/>
  <c r="AD84" i="6"/>
  <c r="AD94" i="6" s="1"/>
  <c r="AD69" i="6"/>
  <c r="M6" i="36" l="1"/>
  <c r="M26" i="36" s="1"/>
  <c r="M7" i="36"/>
  <c r="M27" i="36" s="1"/>
  <c r="M25" i="36"/>
  <c r="AD78" i="6"/>
  <c r="AD70" i="6"/>
  <c r="AD72" i="6" s="1"/>
  <c r="AD74" i="6"/>
  <c r="AD90" i="6"/>
  <c r="U15" i="27" s="1"/>
  <c r="U9" i="27"/>
  <c r="U7" i="27" s="1"/>
  <c r="AD103" i="6"/>
  <c r="AD106" i="6"/>
  <c r="U13" i="27" s="1"/>
  <c r="AD85" i="6"/>
  <c r="AD105" i="6"/>
  <c r="U18" i="27" s="1"/>
  <c r="AJ26" i="4" s="1"/>
  <c r="AD93" i="6"/>
  <c r="M8" i="36" l="1"/>
  <c r="M28" i="36" s="1"/>
  <c r="U6" i="27"/>
  <c r="AD88" i="6"/>
  <c r="U20" i="27" s="1"/>
  <c r="AJ30" i="4"/>
  <c r="AJ32" i="4" s="1"/>
  <c r="AJ33" i="4"/>
  <c r="F52" i="24"/>
  <c r="F54" i="24" l="1"/>
  <c r="F57" i="24"/>
  <c r="F60" i="24"/>
  <c r="F55" i="24"/>
  <c r="F58" i="24"/>
  <c r="F56" i="24"/>
  <c r="F59"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Antonio Caputo</author>
  </authors>
  <commentList>
    <comment ref="I42" authorId="0" shapeId="0" xr:uid="{00000000-0006-0000-1B00-000001000000}">
      <text>
        <r>
          <rPr>
            <b/>
            <sz val="9"/>
            <color indexed="81"/>
            <rFont val="Tahoma"/>
            <family val="2"/>
          </rPr>
          <t>Antonio Caputo:</t>
        </r>
        <r>
          <rPr>
            <sz val="9"/>
            <color indexed="81"/>
            <rFont val="Tahoma"/>
            <family val="2"/>
          </rPr>
          <t xml:space="preserve">
21500 valore che rende ragionevoli le efficienze calcolate.
Valore Terna 17750</t>
        </r>
      </text>
    </comment>
    <comment ref="J55" authorId="0" shapeId="0" xr:uid="{00000000-0006-0000-1B00-000002000000}">
      <text>
        <r>
          <rPr>
            <b/>
            <sz val="9"/>
            <color indexed="81"/>
            <rFont val="Tahoma"/>
            <family val="2"/>
          </rPr>
          <t>Antonio Caputo:</t>
        </r>
        <r>
          <rPr>
            <sz val="9"/>
            <color indexed="81"/>
            <rFont val="Tahoma"/>
            <family val="2"/>
          </rPr>
          <t xml:space="preserve">
valore mediano tra 2003 e 2004 Il valore 1.883 dà risultati assurdi.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Caputo Antonio</author>
    <author>Antonio Caputo</author>
    <author xml:space="preserve"> Antonio</author>
  </authors>
  <commentList>
    <comment ref="K5" authorId="0" shapeId="0" xr:uid="{5EC4C056-EAF7-419A-8FBD-F4DDC52DCEE8}">
      <text>
        <r>
          <rPr>
            <b/>
            <sz val="9"/>
            <color indexed="81"/>
            <rFont val="Tahoma"/>
            <family val="2"/>
          </rPr>
          <t>Caputo Antonio:</t>
        </r>
        <r>
          <rPr>
            <sz val="9"/>
            <color indexed="81"/>
            <rFont val="Tahoma"/>
            <family val="2"/>
          </rPr>
          <t xml:space="preserve">
nel GN c'è anche il biometano</t>
        </r>
      </text>
    </comment>
    <comment ref="A48" authorId="0" shapeId="0" xr:uid="{5F1A1116-F8B7-4226-A1A4-0AAF2936E43E}">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49" authorId="1" shapeId="0" xr:uid="{75D199B9-146B-4F54-B1E4-5A380CF21CF4}">
      <text>
        <r>
          <rPr>
            <b/>
            <sz val="9"/>
            <color indexed="81"/>
            <rFont val="Tahoma"/>
            <family val="2"/>
          </rPr>
          <t>Antonio Caputo:</t>
        </r>
        <r>
          <rPr>
            <sz val="9"/>
            <color indexed="81"/>
            <rFont val="Tahoma"/>
            <family val="2"/>
          </rPr>
          <t xml:space="preserve">
ripartizione di altri combustibili gassosi e solidi secondo le categorie terna</t>
        </r>
      </text>
    </comment>
    <comment ref="A73" authorId="1" shapeId="0" xr:uid="{89F3A5D4-34FB-43BA-9C97-EAE82BDD228A}">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97" authorId="0" shapeId="0" xr:uid="{BD003849-3FD9-4233-BC9F-480279B64987}">
      <text>
        <r>
          <rPr>
            <b/>
            <sz val="9"/>
            <color indexed="81"/>
            <rFont val="Tahoma"/>
            <family val="2"/>
          </rPr>
          <t>Caputo Antonio:</t>
        </r>
        <r>
          <rPr>
            <sz val="9"/>
            <color indexed="81"/>
            <rFont val="Tahoma"/>
            <family val="2"/>
          </rPr>
          <t xml:space="preserve">
nel GN c'è anche il biometano</t>
        </r>
      </text>
    </comment>
    <comment ref="A140" authorId="0" shapeId="0" xr:uid="{86973B1F-2430-4C16-BB7E-7D00021BED65}">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141" authorId="1" shapeId="0" xr:uid="{EB15D93D-18B1-4B2B-9A0D-3CC2FA21BF3E}">
      <text>
        <r>
          <rPr>
            <b/>
            <sz val="9"/>
            <color indexed="81"/>
            <rFont val="Tahoma"/>
            <family val="2"/>
          </rPr>
          <t>Antonio Caputo:</t>
        </r>
        <r>
          <rPr>
            <sz val="9"/>
            <color indexed="81"/>
            <rFont val="Tahoma"/>
            <family val="2"/>
          </rPr>
          <t xml:space="preserve">
ripartizione di altri combustibili gassosi e solidi secondo le categorie terna</t>
        </r>
      </text>
    </comment>
    <comment ref="A165" authorId="1" shapeId="0" xr:uid="{0A2F845C-D1A6-40CD-AC71-37C2FE1F4367}">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189" authorId="0" shapeId="0" xr:uid="{1C0E73DB-C9EE-4B1A-AD5F-DDE37C3FE3E3}">
      <text>
        <r>
          <rPr>
            <b/>
            <sz val="9"/>
            <color indexed="81"/>
            <rFont val="Tahoma"/>
            <family val="2"/>
          </rPr>
          <t>Caputo Antonio:</t>
        </r>
        <r>
          <rPr>
            <sz val="9"/>
            <color indexed="81"/>
            <rFont val="Tahoma"/>
            <family val="2"/>
          </rPr>
          <t xml:space="preserve">
nel GN c'è anche il biometano</t>
        </r>
      </text>
    </comment>
    <comment ref="A232" authorId="0" shapeId="0" xr:uid="{45FB4483-D30A-4019-912B-1685B5B86270}">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233" authorId="1" shapeId="0" xr:uid="{EF240F7A-BB64-4E1C-B7A5-E36689334FA1}">
      <text>
        <r>
          <rPr>
            <b/>
            <sz val="9"/>
            <color indexed="81"/>
            <rFont val="Tahoma"/>
            <family val="2"/>
          </rPr>
          <t>Antonio Caputo:</t>
        </r>
        <r>
          <rPr>
            <sz val="9"/>
            <color indexed="81"/>
            <rFont val="Tahoma"/>
            <family val="2"/>
          </rPr>
          <t xml:space="preserve">
ripartizione di altri combustibili gassosi e solidi secondo le categorie terna</t>
        </r>
      </text>
    </comment>
    <comment ref="A257" authorId="1" shapeId="0" xr:uid="{F8C7D791-3AC5-4926-B17E-A96FCD247A4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281" authorId="0" shapeId="0" xr:uid="{00000000-0006-0000-1C00-000001000000}">
      <text>
        <r>
          <rPr>
            <b/>
            <sz val="9"/>
            <color indexed="81"/>
            <rFont val="Tahoma"/>
            <family val="2"/>
          </rPr>
          <t>Caputo Antonio:</t>
        </r>
        <r>
          <rPr>
            <sz val="9"/>
            <color indexed="81"/>
            <rFont val="Tahoma"/>
            <family val="2"/>
          </rPr>
          <t xml:space="preserve">
nel GN c'è anche il biometano</t>
        </r>
      </text>
    </comment>
    <comment ref="V325" authorId="1" shapeId="0" xr:uid="{00000000-0006-0000-1C00-000002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349" authorId="1" shapeId="0" xr:uid="{00000000-0006-0000-1C00-00000300000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373" authorId="0" shapeId="0" xr:uid="{00000000-0006-0000-1C00-000004000000}">
      <text>
        <r>
          <rPr>
            <b/>
            <sz val="9"/>
            <color indexed="81"/>
            <rFont val="Tahoma"/>
            <family val="2"/>
          </rPr>
          <t>Caputo Antonio:</t>
        </r>
        <r>
          <rPr>
            <sz val="9"/>
            <color indexed="81"/>
            <rFont val="Tahoma"/>
            <family val="2"/>
          </rPr>
          <t xml:space="preserve">
nel GN c'è anche il biometano</t>
        </r>
      </text>
    </comment>
    <comment ref="V417" authorId="1" shapeId="0" xr:uid="{00000000-0006-0000-1C00-000005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441" authorId="1" shapeId="0" xr:uid="{00000000-0006-0000-1C00-000006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509" authorId="1" shapeId="0" xr:uid="{00000000-0006-0000-1C00-00000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533" authorId="1" shapeId="0" xr:uid="{00000000-0006-0000-1C00-000008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597" authorId="1" shapeId="0" xr:uid="{00000000-0006-0000-1C00-000009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618" authorId="1" shapeId="0" xr:uid="{00000000-0006-0000-1C00-00000A000000}">
      <text>
        <r>
          <rPr>
            <b/>
            <sz val="9"/>
            <color indexed="81"/>
            <rFont val="Tahoma"/>
            <family val="2"/>
          </rPr>
          <t>Antonio Caputo:</t>
        </r>
        <r>
          <rPr>
            <sz val="9"/>
            <color indexed="81"/>
            <rFont val="Tahoma"/>
            <family val="2"/>
          </rPr>
          <t xml:space="preserve">
Da serie bilancio Eurostat 
</t>
        </r>
        <r>
          <rPr>
            <b/>
            <sz val="9"/>
            <color indexed="81"/>
            <rFont val="Tahoma"/>
            <family val="2"/>
          </rPr>
          <t>riga 640</t>
        </r>
      </text>
    </comment>
    <comment ref="AC673" authorId="2" shapeId="0" xr:uid="{00000000-0006-0000-1C00-00000B000000}">
      <text>
        <r>
          <rPr>
            <b/>
            <sz val="8"/>
            <color indexed="81"/>
            <rFont val="Tahoma"/>
            <family val="2"/>
          </rPr>
          <t xml:space="preserve"> Antonio:</t>
        </r>
        <r>
          <rPr>
            <sz val="8"/>
            <color indexed="81"/>
            <rFont val="Tahoma"/>
            <family val="2"/>
          </rPr>
          <t xml:space="preserve">
per il 50% sono considerati biodegradabili</t>
        </r>
      </text>
    </comment>
    <comment ref="AC676" authorId="2" shapeId="0" xr:uid="{00000000-0006-0000-1C00-00000C000000}">
      <text>
        <r>
          <rPr>
            <b/>
            <sz val="8"/>
            <color indexed="81"/>
            <rFont val="Tahoma"/>
            <family val="2"/>
          </rPr>
          <t xml:space="preserve"> Antonio:</t>
        </r>
        <r>
          <rPr>
            <sz val="8"/>
            <color indexed="81"/>
            <rFont val="Tahoma"/>
            <family val="2"/>
          </rPr>
          <t xml:space="preserve">
per il 50% sono considerati biodegradabili</t>
        </r>
      </text>
    </comment>
    <comment ref="AC677" authorId="2" shapeId="0" xr:uid="{00000000-0006-0000-1C00-00000D000000}">
      <text>
        <r>
          <rPr>
            <b/>
            <sz val="8"/>
            <color indexed="81"/>
            <rFont val="Tahoma"/>
            <family val="2"/>
          </rPr>
          <t xml:space="preserve"> Antonio:</t>
        </r>
        <r>
          <rPr>
            <sz val="8"/>
            <color indexed="81"/>
            <rFont val="Tahoma"/>
            <family val="2"/>
          </rPr>
          <t xml:space="preserve">
per il 50% sono considerati biodegradabili</t>
        </r>
      </text>
    </comment>
    <comment ref="AB679" authorId="2" shapeId="0" xr:uid="{00000000-0006-0000-1C00-00000E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682" authorId="1" shapeId="0" xr:uid="{00000000-0006-0000-1C00-00000F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703" authorId="1" shapeId="0" xr:uid="{00000000-0006-0000-1C00-000010000000}">
      <text>
        <r>
          <rPr>
            <b/>
            <sz val="9"/>
            <color indexed="81"/>
            <rFont val="Tahoma"/>
            <family val="2"/>
          </rPr>
          <t>Antonio Caputo:</t>
        </r>
        <r>
          <rPr>
            <sz val="9"/>
            <color indexed="81"/>
            <rFont val="Tahoma"/>
            <family val="2"/>
          </rPr>
          <t xml:space="preserve">
Da serie bilancio Eurostat</t>
        </r>
      </text>
    </comment>
    <comment ref="AB732" authorId="1" shapeId="0" xr:uid="{00000000-0006-0000-1C00-000011000000}">
      <text>
        <r>
          <rPr>
            <b/>
            <sz val="9"/>
            <color indexed="81"/>
            <rFont val="Tahoma"/>
            <family val="2"/>
          </rPr>
          <t>Antonio Caputo:</t>
        </r>
        <r>
          <rPr>
            <sz val="9"/>
            <color indexed="81"/>
            <rFont val="Tahoma"/>
            <family val="2"/>
          </rPr>
          <t xml:space="preserve">
fe di quadratura perché cella X198=0</t>
        </r>
      </text>
    </comment>
    <comment ref="AC758" authorId="2" shapeId="0" xr:uid="{00000000-0006-0000-1C00-000012000000}">
      <text>
        <r>
          <rPr>
            <b/>
            <sz val="8"/>
            <color indexed="81"/>
            <rFont val="Tahoma"/>
            <family val="2"/>
          </rPr>
          <t xml:space="preserve"> Antonio:</t>
        </r>
        <r>
          <rPr>
            <sz val="8"/>
            <color indexed="81"/>
            <rFont val="Tahoma"/>
            <family val="2"/>
          </rPr>
          <t xml:space="preserve">
per il 50% sono considerati biodegradabili</t>
        </r>
      </text>
    </comment>
    <comment ref="AC761" authorId="2" shapeId="0" xr:uid="{00000000-0006-0000-1C00-000013000000}">
      <text>
        <r>
          <rPr>
            <b/>
            <sz val="8"/>
            <color indexed="81"/>
            <rFont val="Tahoma"/>
            <family val="2"/>
          </rPr>
          <t xml:space="preserve"> Antonio:</t>
        </r>
        <r>
          <rPr>
            <sz val="8"/>
            <color indexed="81"/>
            <rFont val="Tahoma"/>
            <family val="2"/>
          </rPr>
          <t xml:space="preserve">
per il 50% sono considerati biodegradabili</t>
        </r>
      </text>
    </comment>
    <comment ref="AC762" authorId="2" shapeId="0" xr:uid="{00000000-0006-0000-1C00-000014000000}">
      <text>
        <r>
          <rPr>
            <b/>
            <sz val="8"/>
            <color indexed="81"/>
            <rFont val="Tahoma"/>
            <family val="2"/>
          </rPr>
          <t xml:space="preserve"> Antonio:</t>
        </r>
        <r>
          <rPr>
            <sz val="8"/>
            <color indexed="81"/>
            <rFont val="Tahoma"/>
            <family val="2"/>
          </rPr>
          <t xml:space="preserve">
per il 50% sono considerati biodegradabili</t>
        </r>
      </text>
    </comment>
    <comment ref="AB764" authorId="2" shapeId="0" xr:uid="{00000000-0006-0000-1C00-000015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767" authorId="1" shapeId="0" xr:uid="{00000000-0006-0000-1C00-000016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851" authorId="1" shapeId="0" xr:uid="{00000000-0006-0000-1C00-00001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934" authorId="1" shapeId="0" xr:uid="{00000000-0006-0000-1C00-000018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M977" authorId="1" shapeId="0" xr:uid="{00000000-0006-0000-1C00-000019000000}">
      <text>
        <r>
          <rPr>
            <b/>
            <sz val="9"/>
            <color indexed="81"/>
            <rFont val="Tahoma"/>
            <family val="2"/>
          </rPr>
          <t>Antonio Caputo:</t>
        </r>
        <r>
          <rPr>
            <sz val="9"/>
            <color indexed="81"/>
            <rFont val="Tahoma"/>
            <family val="2"/>
          </rPr>
          <t xml:space="preserve">
diversamente dagli altri anni nei petroliferi sono inclusi i gas di sintesi, mentre negli altri anni sono negli altri combustibili</t>
        </r>
      </text>
    </comment>
    <comment ref="V1017" authorId="1" shapeId="0" xr:uid="{00000000-0006-0000-1C00-00001A000000}">
      <text>
        <r>
          <rPr>
            <b/>
            <sz val="9"/>
            <color indexed="81"/>
            <rFont val="Tahoma"/>
            <family val="2"/>
          </rPr>
          <t>Antonio Caputo:</t>
        </r>
        <r>
          <rPr>
            <sz val="9"/>
            <color indexed="81"/>
            <rFont val="Tahoma"/>
            <family val="2"/>
          </rPr>
          <t xml:space="preserve">
ripartizione di altri combustibili gassosi e solidi secondo le categorie terna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Caputo Antonio</author>
  </authors>
  <commentList>
    <comment ref="A38" authorId="0" shapeId="0" xr:uid="{E15C9AAD-D09E-4BC8-9505-9CD6AA88F8DE}">
      <text>
        <r>
          <rPr>
            <b/>
            <sz val="9"/>
            <color indexed="81"/>
            <rFont val="Tahoma"/>
            <family val="2"/>
          </rPr>
          <t>Caputo Antonio:</t>
        </r>
        <r>
          <rPr>
            <sz val="9"/>
            <color indexed="81"/>
            <rFont val="Tahoma"/>
            <family val="2"/>
          </rPr>
          <t xml:space="preserve">
In terna è il consumo per elettricità e gas e nel modello è nel commerciale</t>
        </r>
      </text>
    </comment>
  </commentList>
</comments>
</file>

<file path=xl/sharedStrings.xml><?xml version="1.0" encoding="utf-8"?>
<sst xmlns="http://schemas.openxmlformats.org/spreadsheetml/2006/main" count="5019" uniqueCount="663">
  <si>
    <t>Fonte</t>
  </si>
  <si>
    <t>Idroelettrica</t>
  </si>
  <si>
    <t>Geotermica</t>
  </si>
  <si>
    <t>Eolica e fotovoltaica</t>
  </si>
  <si>
    <t>Totale da combustibili</t>
  </si>
  <si>
    <t>Solidi</t>
  </si>
  <si>
    <t>Gas naturale</t>
  </si>
  <si>
    <t>Gas derivati</t>
  </si>
  <si>
    <t>Prodotti petroliferi</t>
  </si>
  <si>
    <t>Altri combustibili</t>
  </si>
  <si>
    <t>TOTALE</t>
  </si>
  <si>
    <t>Combustibili</t>
  </si>
  <si>
    <t>Altri combustibili (solidi)</t>
  </si>
  <si>
    <t>Altri combustibili (gassosi)</t>
  </si>
  <si>
    <t>Consumo specifico medio dei combustibili fossili per la produzione elettrica netta.</t>
  </si>
  <si>
    <t>Consumo specifico medio dei combustibili fossili per la produzione elettrica lorda.</t>
  </si>
  <si>
    <t>Impianti</t>
  </si>
  <si>
    <t>Solo produzione energia elettrica</t>
  </si>
  <si>
    <t>a combustione interna (CI)</t>
  </si>
  <si>
    <t>a turbine a gas (TG)</t>
  </si>
  <si>
    <t>a vapore a condensazione (C)</t>
  </si>
  <si>
    <t>a ciclo combinato (CC)</t>
  </si>
  <si>
    <t>-</t>
  </si>
  <si>
    <t>ripotenziato (RP)</t>
  </si>
  <si>
    <t>Produzione combinata energia elettrica e calore</t>
  </si>
  <si>
    <t>a combustione interna (CIC)</t>
  </si>
  <si>
    <t>a turbine a gas (TGC)</t>
  </si>
  <si>
    <t>a ciclo combinato (CCC)</t>
  </si>
  <si>
    <t>a vapore a contropressione (CPC)</t>
  </si>
  <si>
    <t>a vapore a condensazione con spillamento (CSC)</t>
  </si>
  <si>
    <r>
      <t>Produzione elettrica netta per tipologia di impianto</t>
    </r>
    <r>
      <rPr>
        <sz val="12"/>
        <color theme="1"/>
        <rFont val="Times"/>
        <family val="1"/>
      </rPr>
      <t>.</t>
    </r>
  </si>
  <si>
    <t>(stechiometrico)</t>
  </si>
  <si>
    <t>Gas Naturale (secco) IPCC ’96</t>
  </si>
  <si>
    <t xml:space="preserve">    minimo </t>
  </si>
  <si>
    <t xml:space="preserve">    massimo</t>
  </si>
  <si>
    <t>Fattori di emissione nazionali</t>
  </si>
  <si>
    <t>Olio combustibile, IPCC, 1996</t>
  </si>
  <si>
    <t>Gas Naturale,  IPCC '06   media</t>
  </si>
  <si>
    <t>Olio combustibile,  IPCC '06   media</t>
  </si>
  <si>
    <t>minimo</t>
  </si>
  <si>
    <t>massimo</t>
  </si>
  <si>
    <r>
      <t>t CO</t>
    </r>
    <r>
      <rPr>
        <vertAlign val="subscript"/>
        <sz val="12"/>
        <color indexed="8"/>
        <rFont val="Times New Roman"/>
        <family val="1"/>
      </rPr>
      <t>2</t>
    </r>
    <r>
      <rPr>
        <sz val="12"/>
        <color indexed="8"/>
        <rFont val="Times New Roman"/>
        <family val="1"/>
      </rPr>
      <t xml:space="preserve"> / TJ</t>
    </r>
  </si>
  <si>
    <r>
      <t>t CO</t>
    </r>
    <r>
      <rPr>
        <vertAlign val="subscript"/>
        <sz val="12"/>
        <color indexed="8"/>
        <rFont val="Times New Roman"/>
        <family val="1"/>
      </rPr>
      <t>2</t>
    </r>
    <r>
      <rPr>
        <sz val="12"/>
        <color indexed="8"/>
        <rFont val="Times New Roman"/>
        <family val="1"/>
      </rPr>
      <t xml:space="preserve"> / t</t>
    </r>
  </si>
  <si>
    <r>
      <t>t CO</t>
    </r>
    <r>
      <rPr>
        <vertAlign val="subscript"/>
        <sz val="12"/>
        <color theme="1"/>
        <rFont val="Times New Roman"/>
        <family val="1"/>
      </rPr>
      <t>2</t>
    </r>
    <r>
      <rPr>
        <sz val="12"/>
        <color theme="1"/>
        <rFont val="Times New Roman"/>
        <family val="1"/>
      </rPr>
      <t xml:space="preserve"> / TJ</t>
    </r>
  </si>
  <si>
    <r>
      <t>t CO</t>
    </r>
    <r>
      <rPr>
        <vertAlign val="subscript"/>
        <sz val="12"/>
        <color theme="1"/>
        <rFont val="Times New Roman"/>
        <family val="1"/>
      </rPr>
      <t>2</t>
    </r>
    <r>
      <rPr>
        <sz val="12"/>
        <color theme="1"/>
        <rFont val="Times New Roman"/>
        <family val="1"/>
      </rPr>
      <t xml:space="preserve"> / 10</t>
    </r>
    <r>
      <rPr>
        <vertAlign val="superscript"/>
        <sz val="12"/>
        <color theme="1"/>
        <rFont val="Times New Roman"/>
        <family val="1"/>
      </rPr>
      <t>3</t>
    </r>
    <r>
      <rPr>
        <sz val="12"/>
        <color theme="1"/>
        <rFont val="Times New Roman"/>
        <family val="1"/>
      </rPr>
      <t xml:space="preserve">  Stdm</t>
    </r>
    <r>
      <rPr>
        <vertAlign val="superscript"/>
        <sz val="12"/>
        <color theme="1"/>
        <rFont val="Times New Roman"/>
        <family val="1"/>
      </rPr>
      <t>3</t>
    </r>
  </si>
  <si>
    <r>
      <t>t CO</t>
    </r>
    <r>
      <rPr>
        <vertAlign val="subscript"/>
        <sz val="12"/>
        <color theme="1"/>
        <rFont val="Times New Roman"/>
        <family val="1"/>
      </rPr>
      <t>2</t>
    </r>
    <r>
      <rPr>
        <sz val="12"/>
        <color theme="1"/>
        <rFont val="Times New Roman"/>
        <family val="1"/>
      </rPr>
      <t xml:space="preserve"> / tep</t>
    </r>
  </si>
  <si>
    <r>
      <t>t CO</t>
    </r>
    <r>
      <rPr>
        <vertAlign val="subscript"/>
        <sz val="12"/>
        <color theme="1"/>
        <rFont val="Times New Roman"/>
        <family val="1"/>
      </rPr>
      <t xml:space="preserve">2 </t>
    </r>
    <r>
      <rPr>
        <sz val="12"/>
        <color theme="1"/>
        <rFont val="Times New Roman"/>
        <family val="1"/>
      </rPr>
      <t>/ TJ</t>
    </r>
  </si>
  <si>
    <r>
      <t>t CO</t>
    </r>
    <r>
      <rPr>
        <vertAlign val="subscript"/>
        <sz val="12"/>
        <color theme="1"/>
        <rFont val="Times New Roman"/>
        <family val="1"/>
      </rPr>
      <t>2</t>
    </r>
    <r>
      <rPr>
        <sz val="12"/>
        <color theme="1"/>
        <rFont val="Times New Roman"/>
        <family val="1"/>
      </rPr>
      <t xml:space="preserve"> / t</t>
    </r>
  </si>
  <si>
    <t>Coefficiente di ossidazione</t>
  </si>
  <si>
    <r>
      <t>t CO</t>
    </r>
    <r>
      <rPr>
        <vertAlign val="subscript"/>
        <sz val="12"/>
        <color indexed="8"/>
        <rFont val="Times New Roman"/>
        <family val="1"/>
      </rPr>
      <t>2</t>
    </r>
    <r>
      <rPr>
        <sz val="12"/>
        <color indexed="8"/>
        <rFont val="Times New Roman"/>
        <family val="1"/>
      </rPr>
      <t xml:space="preserve"> / tep</t>
    </r>
  </si>
  <si>
    <t>Totale</t>
  </si>
  <si>
    <t>Anno</t>
  </si>
  <si>
    <t>Consumi elettrici</t>
  </si>
  <si>
    <r>
      <t>g CO</t>
    </r>
    <r>
      <rPr>
        <b/>
        <vertAlign val="subscript"/>
        <sz val="12"/>
        <rFont val="Times New Roman"/>
        <family val="1"/>
      </rPr>
      <t>2</t>
    </r>
    <r>
      <rPr>
        <b/>
        <sz val="12"/>
        <rFont val="Times New Roman"/>
        <family val="1"/>
      </rPr>
      <t>/kWh</t>
    </r>
  </si>
  <si>
    <t>Fonte energetica</t>
  </si>
  <si>
    <t>Eolica</t>
  </si>
  <si>
    <t>Fotovoltaica</t>
  </si>
  <si>
    <t>Torna indietro</t>
  </si>
  <si>
    <t>COMBUSTIBILI</t>
  </si>
  <si>
    <t>CARBONE ESTERO</t>
  </si>
  <si>
    <t>CARBONE NAZIONALE</t>
  </si>
  <si>
    <t>LIGNITE</t>
  </si>
  <si>
    <t>CARBONE SUB-BITUMINOSO</t>
  </si>
  <si>
    <t>GAS NATURALE</t>
  </si>
  <si>
    <t>Gas Naturale</t>
  </si>
  <si>
    <t>Gas Derivati</t>
  </si>
  <si>
    <t>CHEROSENE</t>
  </si>
  <si>
    <t>COKE DI PETROLIO</t>
  </si>
  <si>
    <t>DISTILLATI LEGGERI</t>
  </si>
  <si>
    <t>GAS DI PETROLIO LIQUEFATTO</t>
  </si>
  <si>
    <t>GAS DI RAFFINERIA</t>
  </si>
  <si>
    <t>GASOLIO</t>
  </si>
  <si>
    <t>NAFTA</t>
  </si>
  <si>
    <t>OLIO COMBUSTIBILE</t>
  </si>
  <si>
    <t>ORIMULSION</t>
  </si>
  <si>
    <t>PETROLIO GREZZO</t>
  </si>
  <si>
    <t>Prodotti Petroliferi</t>
  </si>
  <si>
    <t>RSU / RSAU, RIFIUTI SOLIDI URBANI O ASSIMILABILI [1]</t>
  </si>
  <si>
    <t>TOTALE COMBUSTIBILI FOSSILI</t>
  </si>
  <si>
    <t>TOTALE COMBUSTIBILI[2]</t>
  </si>
  <si>
    <t>TOTALE TERMOELETTRICO (+VAPORE ENDOGENO E ALTRE FONTI DI CALORE) [3]</t>
  </si>
  <si>
    <t>Totale E.E. (+altre FER) [4]</t>
  </si>
  <si>
    <t xml:space="preserve">[1] Il fattore emissivo è dimezzato in quanto il 50% del combustibile è rappresentato da rifiuti </t>
  </si>
  <si>
    <t>[2] Nel totale da combustibili è considerata la combustione delle biomasse che formalmente rappresentano delle fonti rinnovabili con bilancio emissivo pari a zero.</t>
  </si>
  <si>
    <t>Fattori di emissioni di anidride carbonica da produzione termoelettrica lorda per combustibile.</t>
  </si>
  <si>
    <r>
      <t>g CO</t>
    </r>
    <r>
      <rPr>
        <b/>
        <vertAlign val="subscript"/>
        <sz val="10"/>
        <rFont val="Arial"/>
        <family val="2"/>
      </rPr>
      <t>2</t>
    </r>
    <r>
      <rPr>
        <b/>
        <sz val="10"/>
        <rFont val="Arial"/>
        <family val="2"/>
      </rPr>
      <t>/ kWh lorda</t>
    </r>
  </si>
  <si>
    <r>
      <t>Produzione termoelettrica lorda per tipologia di impianto</t>
    </r>
    <r>
      <rPr>
        <sz val="12"/>
        <color theme="1"/>
        <rFont val="Times"/>
        <family val="1"/>
      </rPr>
      <t>.</t>
    </r>
  </si>
  <si>
    <t>1. Produzione termoelettrica lorda per combustibile</t>
  </si>
  <si>
    <t>2. Percentuale della produzione termoelettrica lorda per combustibile</t>
  </si>
  <si>
    <t>3. Quota relativa di produzione termoelettrica lorda per combustibile</t>
  </si>
  <si>
    <t>Idroelettrica (a)</t>
  </si>
  <si>
    <t>(b) La differenza rispetto ai dati riportati in Tabella 1 è dovuta al contributo di "altre fonti di energia".</t>
  </si>
  <si>
    <t>Termoelettrica (b)</t>
  </si>
  <si>
    <r>
      <t>Mt CO</t>
    </r>
    <r>
      <rPr>
        <b/>
        <vertAlign val="subscript"/>
        <sz val="11"/>
        <color theme="1"/>
        <rFont val="Times New Roman"/>
        <family val="1"/>
      </rPr>
      <t>2</t>
    </r>
  </si>
  <si>
    <r>
      <t>g CO</t>
    </r>
    <r>
      <rPr>
        <b/>
        <vertAlign val="subscript"/>
        <sz val="12"/>
        <rFont val="Times New Roman"/>
        <family val="1"/>
      </rPr>
      <t>2</t>
    </r>
    <r>
      <rPr>
        <b/>
        <sz val="12"/>
        <rFont val="Times New Roman"/>
        <family val="1"/>
      </rPr>
      <t>/kWh lorda</t>
    </r>
  </si>
  <si>
    <t>Produzione lorda</t>
  </si>
  <si>
    <t>di cui da pompaggi</t>
  </si>
  <si>
    <t>Servizi ausiliari</t>
  </si>
  <si>
    <t>Produzione netta</t>
  </si>
  <si>
    <t>Destinata a pompaggi</t>
  </si>
  <si>
    <t>Produzione destinata al consumo</t>
  </si>
  <si>
    <t>Energia richiesta</t>
  </si>
  <si>
    <t>Perdite di rete</t>
  </si>
  <si>
    <t>2010, pci 8190 kcal/m3</t>
  </si>
  <si>
    <t>Gas di raffineria</t>
  </si>
  <si>
    <t>Olio combustibile</t>
  </si>
  <si>
    <t>Carbone da vapore</t>
  </si>
  <si>
    <t>1990-2004</t>
  </si>
  <si>
    <t>1990-1999</t>
  </si>
  <si>
    <t>2000-2004</t>
  </si>
  <si>
    <t>Gas di altoforno</t>
  </si>
  <si>
    <t>Gas di cokeria</t>
  </si>
  <si>
    <t>Gas di acciaieria</t>
  </si>
  <si>
    <t>Idrocarburi pesanti per gassificazione</t>
  </si>
  <si>
    <t>1999-2005</t>
  </si>
  <si>
    <t>Gas di sintesi</t>
  </si>
  <si>
    <t>Gas residui da processi chimici</t>
  </si>
  <si>
    <t>1990-2007</t>
  </si>
  <si>
    <t>Coke di petrolio</t>
  </si>
  <si>
    <t>[3] Nel totale termoelettrico è considerata l’energia geotermica (vapore) che rappresenta una fonte rinnovabile con bilancio emissivo pari a zero.</t>
  </si>
  <si>
    <t>antonio.caputo@isprambiente.it</t>
  </si>
  <si>
    <t>Agricoltura e Pesca</t>
  </si>
  <si>
    <t>Industria</t>
  </si>
  <si>
    <t>Domestico</t>
  </si>
  <si>
    <t>Saldo import/export</t>
  </si>
  <si>
    <t>Fattori di emissione medi nazionali.</t>
  </si>
  <si>
    <r>
      <t>t CO</t>
    </r>
    <r>
      <rPr>
        <vertAlign val="subscript"/>
        <sz val="12"/>
        <color indexed="8"/>
        <rFont val="Times New Roman"/>
        <family val="1"/>
      </rPr>
      <t>2</t>
    </r>
    <r>
      <rPr>
        <sz val="12"/>
        <color indexed="8"/>
        <rFont val="Times New Roman"/>
        <family val="1"/>
      </rPr>
      <t xml:space="preserve"> / 10</t>
    </r>
    <r>
      <rPr>
        <vertAlign val="superscript"/>
        <sz val="12"/>
        <color indexed="8"/>
        <rFont val="Times New Roman"/>
        <family val="1"/>
      </rPr>
      <t>3</t>
    </r>
    <r>
      <rPr>
        <sz val="12"/>
        <color indexed="8"/>
        <rFont val="Times New Roman"/>
        <family val="1"/>
      </rPr>
      <t xml:space="preserve"> std m</t>
    </r>
    <r>
      <rPr>
        <vertAlign val="superscript"/>
        <sz val="12"/>
        <color indexed="8"/>
        <rFont val="Times New Roman"/>
        <family val="1"/>
      </rPr>
      <t>3</t>
    </r>
  </si>
  <si>
    <t>1990-2005</t>
  </si>
  <si>
    <t>di cui autoproduttori</t>
  </si>
  <si>
    <t>TWh</t>
  </si>
  <si>
    <t>GAS DA ESTRAZIONE</t>
  </si>
  <si>
    <t>ALTRI COMBUSTIBILI</t>
  </si>
  <si>
    <t>ALTRI COMBUSTIBILI GASSOSI</t>
  </si>
  <si>
    <t>ALTRI COMBUSTIBILI, SOLIDI</t>
  </si>
  <si>
    <t>GAS RESIDUI DI PROCESSI CHIMICI</t>
  </si>
  <si>
    <t>ALTRI COMBUSTIBILI (compresi rifiuti bio-degradabili, biogas e biomasse di origine vegetale)</t>
  </si>
  <si>
    <t>MJ/kWh</t>
  </si>
  <si>
    <t>Prodotti petroliferi*</t>
  </si>
  <si>
    <t>Altri combustibili (solidi)*</t>
  </si>
  <si>
    <t>Altri combustibili (gassosi)*</t>
  </si>
  <si>
    <t>* Secondo classificazione dei combustibili utilizzata da TERNA</t>
  </si>
  <si>
    <t>Gas derivati*</t>
  </si>
  <si>
    <t>BIODIESEL</t>
  </si>
  <si>
    <t>BIOMASSE DA RIFIUTI COMPLETAMENTE BIODEGRADABILI</t>
  </si>
  <si>
    <t>CDR</t>
  </si>
  <si>
    <t>COLTURE E RIFIUTI AGRO INDUSTRIALI</t>
  </si>
  <si>
    <t>RIFIUTI GENERICI CER NON ALTROVE CLASSIFICATI</t>
  </si>
  <si>
    <t>RIFIUTI INDUSTRIALI NON BIODEGRADABILI</t>
  </si>
  <si>
    <t>RIFIUTI LIQUIDI BIODEGRADABILI</t>
  </si>
  <si>
    <t>RSU/RSAU</t>
  </si>
  <si>
    <t>BIOGAS DA DEIEZIONI ANIMALI</t>
  </si>
  <si>
    <t>BIOGAS DA FANGHI DI DEPURAZIONE</t>
  </si>
  <si>
    <t>BIOGAS DA RIFIUTI NON RSU</t>
  </si>
  <si>
    <t>GAS DA PIROLISI O GASSIFICAZIONE DI BIOMASSE/RIFIUTI</t>
  </si>
  <si>
    <t>GAS DA ACCIAIERIA A OSSIGENO</t>
  </si>
  <si>
    <t>GAS D'ALTOFORNO</t>
  </si>
  <si>
    <t>GAS DI COKERIA</t>
  </si>
  <si>
    <t>Petroliferi</t>
  </si>
  <si>
    <t>TERNA</t>
  </si>
  <si>
    <t>EUROSTAT</t>
  </si>
  <si>
    <t>2015, pci 8190 kcal/m3</t>
  </si>
  <si>
    <t>(1) Emissioni di CO2 riferite alla quota di combustibili per la produzione elettrica. Per tutti i calcoli inerenti le emissioni atmosferiche i combustibili sono raggruppati secondo classificazione Eurostat.</t>
  </si>
  <si>
    <t>(2) Emissioni di CO2 riferite alla quota di combustibili per la produzione di calore. Per tutti i calcoli inerenti le emissioni atmosferiche i combustibili sono raggruppati secondo classificazione Eurostat.</t>
  </si>
  <si>
    <t>Bioenergie</t>
  </si>
  <si>
    <t>GW</t>
  </si>
  <si>
    <t>.</t>
  </si>
  <si>
    <t>Tipologia di impianto</t>
  </si>
  <si>
    <t>turbo espansione (TE)</t>
  </si>
  <si>
    <t>altro genere (V)</t>
  </si>
  <si>
    <r>
      <t>Potenza efficiente lorda degli impianti termoelettrici per tipologia di impianto</t>
    </r>
    <r>
      <rPr>
        <sz val="12"/>
        <color theme="1"/>
        <rFont val="Times"/>
        <family val="1"/>
      </rPr>
      <t>.</t>
    </r>
  </si>
  <si>
    <t>Raggruppamento dei combustibili secondo le categorie utilizzate da Terna e da Eurostat (nelle successive tabelle e grafici sono utilizzate le categorie Eurostat se non diversamente indicato).</t>
  </si>
  <si>
    <r>
      <t>Produzione elettrica lorda</t>
    </r>
    <r>
      <rPr>
        <b/>
        <vertAlign val="superscript"/>
        <sz val="12"/>
        <rFont val="Times New Roman"/>
        <family val="1"/>
      </rPr>
      <t>2</t>
    </r>
  </si>
  <si>
    <r>
      <t>Produzione termoelettrica lorda</t>
    </r>
    <r>
      <rPr>
        <b/>
        <vertAlign val="superscript"/>
        <sz val="12"/>
        <rFont val="Times New Roman"/>
        <family val="1"/>
      </rPr>
      <t>1</t>
    </r>
  </si>
  <si>
    <r>
      <rPr>
        <vertAlign val="superscript"/>
        <sz val="12"/>
        <rFont val="Times New Roman"/>
        <family val="1"/>
      </rPr>
      <t>1</t>
    </r>
    <r>
      <rPr>
        <sz val="12"/>
        <rFont val="Times New Roman"/>
        <family val="1"/>
      </rPr>
      <t xml:space="preserve"> comprensiva della quota di elettricità prodotta da bioenergie</t>
    </r>
  </si>
  <si>
    <t>5. Produzione elettrica lorda per fonte</t>
  </si>
  <si>
    <t>8. Fattori di emissione medi nazionali</t>
  </si>
  <si>
    <t>10. Andamento delle emissioni da produzione termoelettrica per combustibile</t>
  </si>
  <si>
    <t>11. Variazione annuale della produzione termoelettrica e delle emissioni per combustibile (1990=100)</t>
  </si>
  <si>
    <t>12. Fattori di emissioni di anidride carbonica da produzione termoelettrica lorda per combustibile</t>
  </si>
  <si>
    <t>13. Dati di produzione e consumo di energia elettrica</t>
  </si>
  <si>
    <t>15. Andamento del fattore di emissione di anidride carbonica per kWh elettrico prodotto e consumato</t>
  </si>
  <si>
    <t>16. Fattori di emissioni di anidride carbonica da produzione termoelettrica lorda per combustibile</t>
  </si>
  <si>
    <t>GWh lordi</t>
  </si>
  <si>
    <t>ktep elettrici</t>
  </si>
  <si>
    <t>GWh lordi stima</t>
  </si>
  <si>
    <t>scarto</t>
  </si>
  <si>
    <t>PJ elettrici</t>
  </si>
  <si>
    <t>ktep totali (+calore)</t>
  </si>
  <si>
    <t>Calore introdotto (ktep)</t>
  </si>
  <si>
    <t>TJ</t>
  </si>
  <si>
    <t>x = 34578 - y</t>
  </si>
  <si>
    <t>(34578 ktep - y ) / 8.624 + y / 6.502 = 191458 GWh</t>
  </si>
  <si>
    <t>(34578 x 41.868 / 8.624) - (y / 8.624) + y / 6.502 = 191458 GWh</t>
  </si>
  <si>
    <t>167870 - y x (1/8.624 - 1 / 6.502) = 191458</t>
  </si>
  <si>
    <t>- y = (191458 - 167870) / -0.04</t>
  </si>
  <si>
    <t xml:space="preserve">y = </t>
  </si>
  <si>
    <t>x + y = 34578 ktep</t>
  </si>
  <si>
    <t>x - solo elettricità ; y - cogenerative</t>
  </si>
  <si>
    <t>x =</t>
  </si>
  <si>
    <t>GWh</t>
  </si>
  <si>
    <t>ktep</t>
  </si>
  <si>
    <t>ktep input destinati al calore</t>
  </si>
  <si>
    <t>x / 8.624 MJ/kWh + y / 6.502 MJ/kWh = 191458 GWh</t>
  </si>
  <si>
    <t>1 ktep =</t>
  </si>
  <si>
    <t>cogenerative</t>
  </si>
  <si>
    <t>non cogenerative</t>
  </si>
  <si>
    <t>MJ/kWh elettriche</t>
  </si>
  <si>
    <t>MJ/kWh cogenerative</t>
  </si>
  <si>
    <t>Mcal/kWh elettriche</t>
  </si>
  <si>
    <t>Mcal/kWh cogenerative</t>
  </si>
  <si>
    <t>GN</t>
  </si>
  <si>
    <t>GD</t>
  </si>
  <si>
    <t>Dati 2015 lorda</t>
  </si>
  <si>
    <t>Tot</t>
  </si>
  <si>
    <t>Petrol</t>
  </si>
  <si>
    <t>Al gas</t>
  </si>
  <si>
    <t>Al sol</t>
  </si>
  <si>
    <t>t CO2/TJ</t>
  </si>
  <si>
    <t>tep</t>
  </si>
  <si>
    <t>DISTILLATI LEGGERI - 3295 - Other Oil Products</t>
  </si>
  <si>
    <t>GAS DA ESTRAZIONE - 3295 - Other Oil Products</t>
  </si>
  <si>
    <t>ALTRI COMBUSTIBILI GASSOSI - 3295 - Other Oil Products</t>
  </si>
  <si>
    <t>ALTRI COMBUSTIBILI, SOLIDI - 3295 - Other Oil Products</t>
  </si>
  <si>
    <t>GAS RESIDUI DI PROCESSI CHIMICI - 3295 - Other Oil Products</t>
  </si>
  <si>
    <t>ALTRI COMBUSTIBILI, BIOLIQUIDI</t>
  </si>
  <si>
    <t>OLII VEGETALI GREZZI</t>
  </si>
  <si>
    <t>BIOGAS DA ATTIVITA' AGRICOLE e FORESTALI</t>
  </si>
  <si>
    <t>BIOGAS DA COLTURE E RIFIUTI AGRO INDUSTR.</t>
  </si>
  <si>
    <t>BIOGAS DA FORSU (Frazione Organica RSU)</t>
  </si>
  <si>
    <t>BIOGAS DA RIFIUTI SOLIDI URBANI</t>
  </si>
  <si>
    <t>BIOGAS DA RIFIUTI SOLIDI URBANI (smaltiti in discarica)</t>
  </si>
  <si>
    <t>BIOMASSE SOLIDE</t>
  </si>
  <si>
    <t>RIFIUTI SOLIDI URBANI</t>
  </si>
  <si>
    <t>RSU / RSAU, RIFIUTI SOLIDI URBANI O ASSIMILABILI</t>
  </si>
  <si>
    <t>Mt CO2</t>
  </si>
  <si>
    <t>g CO2/kWh 2015</t>
  </si>
  <si>
    <t>GAS DI SINTESI DA PROCESSI DI GASSIFICAZIONE - 3295 - Other Oil Products</t>
  </si>
  <si>
    <t>GD secondo terna</t>
  </si>
  <si>
    <t>Petrol secondo terna</t>
  </si>
  <si>
    <t>Al sol secondo terna</t>
  </si>
  <si>
    <t>Al gas secondo terna</t>
  </si>
  <si>
    <t>Dati 2010 lorda</t>
  </si>
  <si>
    <t>ALTRI COMBUSTIBILI - 3295 - Other Oil Products</t>
  </si>
  <si>
    <t>IDROGENO - 3295 - Other Oil Products</t>
  </si>
  <si>
    <t>Dati 2005 lorda</t>
  </si>
  <si>
    <t>Dati 2000 lorda</t>
  </si>
  <si>
    <t>Altri</t>
  </si>
  <si>
    <t>g CO2/kWh 2000</t>
  </si>
  <si>
    <t>g CO2/kWh 2005</t>
  </si>
  <si>
    <t>g CO2/kWh 2010</t>
  </si>
  <si>
    <t>STIMA, SONO CAMBIATI I TOTALI DI PRODUZIONE GN E QUANTITA' ENERGETICHE DI TUTTI RISPETTO AL RAPPORTO DEL 2000</t>
  </si>
  <si>
    <t>dati pubblicati da TERNA nel 2000</t>
  </si>
  <si>
    <t>dati comunicati da TERNA nei questionari del 2016</t>
  </si>
  <si>
    <t>Dati 2016 lorda</t>
  </si>
  <si>
    <t>g CO2/kWh 2016</t>
  </si>
  <si>
    <t>TJ input non cog</t>
  </si>
  <si>
    <t>TJ input cogen</t>
  </si>
  <si>
    <t>ktep cogen</t>
  </si>
  <si>
    <t>ktep non cogen</t>
  </si>
  <si>
    <t>Consumi specifici - centrali non cogenerative (Mcal/kWh elettrici)</t>
  </si>
  <si>
    <t>Consumi specifici - centrali cogenerative (Mcal/kWh elettrici)</t>
  </si>
  <si>
    <t>- per produzione elettrica</t>
  </si>
  <si>
    <t>- per produzione di calore</t>
  </si>
  <si>
    <t>- centrali cogenerative</t>
  </si>
  <si>
    <t xml:space="preserve"> - centrali non cogenerative</t>
  </si>
  <si>
    <t>in ingresso</t>
  </si>
  <si>
    <t>sui dati 2015</t>
  </si>
  <si>
    <t>Altri solidi</t>
  </si>
  <si>
    <t>Altri gassosi</t>
  </si>
  <si>
    <t>g CO2/kWh</t>
  </si>
  <si>
    <t>Consumo di energia - parco termoelettrico (ktep)</t>
  </si>
  <si>
    <t>Consumo di energia per la produzione elettrica</t>
  </si>
  <si>
    <t>Ore equivalenti medie annue</t>
  </si>
  <si>
    <r>
      <t>h</t>
    </r>
    <r>
      <rPr>
        <b/>
        <vertAlign val="subscript"/>
        <sz val="12"/>
        <rFont val="Times New Roman"/>
        <family val="1"/>
      </rPr>
      <t>eq</t>
    </r>
  </si>
  <si>
    <t>TJ totali</t>
  </si>
  <si>
    <t>Calore prodotto (ktep)</t>
  </si>
  <si>
    <t>Consumo di energia totale nelle cogenerative e calore prodotto (ktep)</t>
  </si>
  <si>
    <t>Consumo totale energia (ktep)</t>
  </si>
  <si>
    <t>Consumi per energia elettrica</t>
  </si>
  <si>
    <t>Consumo di energia destinata alla produzione elettrica per tipologia di impianto e tipologia di combustibile. Classificazione dei combustibili secondo Terna.</t>
  </si>
  <si>
    <t>Consumo di energia delle centrali cogenerative per tipologia di impianto e tipologia di combustibile. Classificazione dei combustibili secondo Terna.</t>
  </si>
  <si>
    <t>CO2 per produzione calore (Mt)</t>
  </si>
  <si>
    <t>FE g CO2/kWht</t>
  </si>
  <si>
    <t>CO2 per produzione calore+elc (Mt)</t>
  </si>
  <si>
    <t>FE g CO2/kWh</t>
  </si>
  <si>
    <t>FE g CO2/kWh (elc+heat)</t>
  </si>
  <si>
    <t>Impianti non cogenerativi</t>
  </si>
  <si>
    <t>Impianti cogenerativi</t>
  </si>
  <si>
    <t>Efficienza ele</t>
  </si>
  <si>
    <t>Efficienza ele+cal</t>
  </si>
  <si>
    <t>Eff. Totale parco</t>
  </si>
  <si>
    <t>g CO2/kWh (elettricità e calore)</t>
  </si>
  <si>
    <t>g CO2/kWh (calore)</t>
  </si>
  <si>
    <t>Per informazioni:</t>
  </si>
  <si>
    <t>0. Raggruppamento dei combustibili secondo le categorie utilizzate da Terna e da Eurostat</t>
  </si>
  <si>
    <t>Produzione lorda di energia elettrica da impianti cogenerativi e non cogenerativi.</t>
  </si>
  <si>
    <t>4. Produzione lorda di energia elettrica da impianti cogenerativi e non cogenerativi</t>
  </si>
  <si>
    <t>Carbone</t>
  </si>
  <si>
    <t>Carbone sub-bituminoso</t>
  </si>
  <si>
    <t>Lignite</t>
  </si>
  <si>
    <t>Gas da acciaieria a ossigeno</t>
  </si>
  <si>
    <t>Gas da estrazione</t>
  </si>
  <si>
    <t>Gas d'altoforno</t>
  </si>
  <si>
    <t>Distillati leggeri</t>
  </si>
  <si>
    <t>Cherosene</t>
  </si>
  <si>
    <t>Gas di petrolio liquefatto</t>
  </si>
  <si>
    <t>Gasolio</t>
  </si>
  <si>
    <t>Nafta</t>
  </si>
  <si>
    <t>Orimulsion</t>
  </si>
  <si>
    <t>Petrolio grezzo</t>
  </si>
  <si>
    <t>Altri bioliquidi</t>
  </si>
  <si>
    <t>Altri combustibili solidi</t>
  </si>
  <si>
    <t>Biodiesel</t>
  </si>
  <si>
    <t>Biomasse da rifiuti completamente biodegradabili</t>
  </si>
  <si>
    <t>Colture e rifiuti agro industriali</t>
  </si>
  <si>
    <t>Gas di sintesi da processi di gassificazione</t>
  </si>
  <si>
    <t>Gas residui di processi chimici</t>
  </si>
  <si>
    <t>Oli vegetali grezzi</t>
  </si>
  <si>
    <t>Rifiuti generici CER non altrove classificati</t>
  </si>
  <si>
    <t>Rifiuti industriali non biodegradabili</t>
  </si>
  <si>
    <t>Rifiuti liquidi biodegradabili</t>
  </si>
  <si>
    <t>Altri combustibili gassosi</t>
  </si>
  <si>
    <t>Biogas da attività agricole e forestali</t>
  </si>
  <si>
    <t>Biogas da deiezioni animali</t>
  </si>
  <si>
    <t>Biogas da fanghi di depurazione</t>
  </si>
  <si>
    <t>Biogas da FORSU</t>
  </si>
  <si>
    <t>Biogas da rifiuti non RSU</t>
  </si>
  <si>
    <t>Biogas da rsu smaltiti in discarica</t>
  </si>
  <si>
    <t>Gas da pirolisi o gassificazione di biomasse/rifiuti</t>
  </si>
  <si>
    <t>Idrogeno</t>
  </si>
  <si>
    <t>Gas serra</t>
  </si>
  <si>
    <t>GHG</t>
  </si>
  <si>
    <t>Contaminanti atmosferici</t>
  </si>
  <si>
    <t>kt</t>
  </si>
  <si>
    <t>Composti organici volatili non metanici - COVNM</t>
  </si>
  <si>
    <t>Carbone, IPCC 2006,         media</t>
  </si>
  <si>
    <t>Carbone, IPCC 1996</t>
  </si>
  <si>
    <r>
      <t>Mt CO</t>
    </r>
    <r>
      <rPr>
        <b/>
        <vertAlign val="subscript"/>
        <sz val="12"/>
        <color theme="1"/>
        <rFont val="Times New Roman"/>
        <family val="1"/>
      </rPr>
      <t>2eq</t>
    </r>
  </si>
  <si>
    <r>
      <t>Anidride carbonica - CO</t>
    </r>
    <r>
      <rPr>
        <b/>
        <vertAlign val="subscript"/>
        <sz val="12"/>
        <color theme="1"/>
        <rFont val="Times New Roman"/>
        <family val="1"/>
      </rPr>
      <t>2</t>
    </r>
  </si>
  <si>
    <r>
      <t>Metano - CH</t>
    </r>
    <r>
      <rPr>
        <b/>
        <vertAlign val="subscript"/>
        <sz val="12"/>
        <color theme="1"/>
        <rFont val="Times New Roman"/>
        <family val="1"/>
      </rPr>
      <t>4</t>
    </r>
  </si>
  <si>
    <r>
      <t>Protossido di azoto - N</t>
    </r>
    <r>
      <rPr>
        <b/>
        <vertAlign val="subscript"/>
        <sz val="12"/>
        <color theme="1"/>
        <rFont val="Times New Roman"/>
        <family val="1"/>
      </rPr>
      <t>2</t>
    </r>
    <r>
      <rPr>
        <b/>
        <sz val="12"/>
        <color theme="1"/>
        <rFont val="Times New Roman"/>
        <family val="1"/>
      </rPr>
      <t>O</t>
    </r>
  </si>
  <si>
    <r>
      <t>Ossidi di azoto - NO</t>
    </r>
    <r>
      <rPr>
        <b/>
        <vertAlign val="subscript"/>
        <sz val="12"/>
        <color theme="1"/>
        <rFont val="Times New Roman"/>
        <family val="1"/>
      </rPr>
      <t>x</t>
    </r>
  </si>
  <si>
    <r>
      <t>Ossidi di zolfo - SO</t>
    </r>
    <r>
      <rPr>
        <b/>
        <vertAlign val="subscript"/>
        <sz val="12"/>
        <color theme="1"/>
        <rFont val="Times New Roman"/>
        <family val="1"/>
      </rPr>
      <t>x</t>
    </r>
  </si>
  <si>
    <r>
      <t>Ammoniaca - NH</t>
    </r>
    <r>
      <rPr>
        <b/>
        <vertAlign val="subscript"/>
        <sz val="12"/>
        <color theme="1"/>
        <rFont val="Times New Roman"/>
        <family val="1"/>
      </rPr>
      <t>3</t>
    </r>
  </si>
  <si>
    <r>
      <t>Materiale particolato - PM</t>
    </r>
    <r>
      <rPr>
        <b/>
        <vertAlign val="subscript"/>
        <sz val="12"/>
        <color theme="1"/>
        <rFont val="Times New Roman"/>
        <family val="1"/>
      </rPr>
      <t>10</t>
    </r>
  </si>
  <si>
    <t>g CO2eq/kWh*</t>
  </si>
  <si>
    <t>Calcolo DEFINITIVO</t>
  </si>
  <si>
    <t>GWh (calore)</t>
  </si>
  <si>
    <t>Monossido di carbonio - CO</t>
  </si>
  <si>
    <t>* energia elettrica totale al netto dai pompaggi + calore in kWh</t>
  </si>
  <si>
    <t>20. Consumo di energia destinata alla produzione elettrica per tipologia di impianto e tipologia di combustibile</t>
  </si>
  <si>
    <t>14. Fattori di emissione della produzione elettrica, produzione di calore e dei consumi elettrici</t>
  </si>
  <si>
    <t>6.  Produzione elettrica lorda e potenza efficiente lorda per fonte rinnovabile</t>
  </si>
  <si>
    <t>7. Quota della produzione elettrica lorda nazionale dalle diverse fonti</t>
  </si>
  <si>
    <t>21. Consumo di energia delle centrali cogenerative per tipologia di impianto e tipologia di combustibile</t>
  </si>
  <si>
    <t>24. Efficienza elettrica e totale per tipologia di impianto e tipologia di combustibile</t>
  </si>
  <si>
    <t>17. Fattori di emissione per la produzione elettrica per tipologia di impianto e tipologia di combustibile</t>
  </si>
  <si>
    <t>18. Fattori di emissione per produzione di elettricità e calore da centrali cogenerative per tipologia di impianto e tipologia di combustibile</t>
  </si>
  <si>
    <t>19. Emissioni e Fattori di emissione di GHG e alti contaminanti per la produzione di energia elettrica e calore</t>
  </si>
  <si>
    <t>22. Produzione di calore delle centrali cogenerative per tipologia di impianto e tipologia di combustibile</t>
  </si>
  <si>
    <t>23. Consumi energetici ed efficienza del parco termoelettrico</t>
  </si>
  <si>
    <t>mg/kWh*</t>
  </si>
  <si>
    <t>(a) La differenza rispetto ai dati riportati in Tabella 6 è dovuta al contributo dei pompaggi.</t>
  </si>
  <si>
    <t>Idroelettrica (no pompaggi)</t>
  </si>
  <si>
    <t>Anidride carbonica - CO2</t>
  </si>
  <si>
    <t>Metano - CH4</t>
  </si>
  <si>
    <t>Protossido di azoto - N2O</t>
  </si>
  <si>
    <t>Final electricity consumption Eurostat</t>
  </si>
  <si>
    <t>QUADRATURA CONSUMI ELETTRICI CON EUROSTAT</t>
  </si>
  <si>
    <t>Autoproduzione</t>
  </si>
  <si>
    <t>di cui da autoconsumo</t>
  </si>
  <si>
    <t>Emissioni da consumi elettrici (Mt CO2eq)</t>
  </si>
  <si>
    <t>Servizi</t>
  </si>
  <si>
    <t>Residenziale</t>
  </si>
  <si>
    <t>Trasporti</t>
  </si>
  <si>
    <t>Dati 2017 lorda</t>
  </si>
  <si>
    <t>Liquidi da gas naturale</t>
  </si>
  <si>
    <t>g CO2eq/kWh</t>
  </si>
  <si>
    <t>Fattori di emissione per la produzione termoelettrica lorda per tipologia di impianto e tipologia di combustibile. Classificazione dei combustibili secondo Terna.</t>
  </si>
  <si>
    <t>Fattori di emissione per produzione lorda di energia elettrica e calore delle centrali cogenerative per tipologia di impianto e tipologia di combustibile. Classificazione dei combustibili secondo Terna.</t>
  </si>
  <si>
    <t>Fattori di emissioni di contaminanti atmosferici dal settore elettrico per la produzione lorda di energia elettrica e calore.</t>
  </si>
  <si>
    <t>Efficienza di conversione di calore nelle CHP</t>
  </si>
  <si>
    <t>Rendimento totale</t>
  </si>
  <si>
    <t>Rendimento elettrico</t>
  </si>
  <si>
    <t>Rend. totale - parco termoelettrico</t>
  </si>
  <si>
    <t>p - stime provvisorie</t>
  </si>
  <si>
    <t>Dati 2018 lorda</t>
  </si>
  <si>
    <t>celle combustibili (CEL)</t>
  </si>
  <si>
    <t>a celle combustibile (CEC)</t>
  </si>
  <si>
    <t>celle combustibili con cogenerazione (CEC)</t>
  </si>
  <si>
    <t>a celle combustibili (CEL)</t>
  </si>
  <si>
    <t>a celle combustibili con cogenerazione (CEC)</t>
  </si>
  <si>
    <t>Totale in primaria</t>
  </si>
  <si>
    <t>fattore conversione solo termoelettrico</t>
  </si>
  <si>
    <t>Produzione lorda + netto import/export</t>
  </si>
  <si>
    <t>fattore conversione in primaria incluso import</t>
  </si>
  <si>
    <t>fattore conversione di tutta la produzione nazionale</t>
  </si>
  <si>
    <t>Coke di petrolio (nelle raffinerie)</t>
  </si>
  <si>
    <t>Biometano*</t>
  </si>
  <si>
    <t>* Dal 2017 si registra la produzione di energia elettrica biometano. Terna conteggia la produzionde da biometano nel gas naturale riportato in Tabella 1. L’energia elettrica da biometano è calcolata da GSE in base all’incidenza del biometano rispetto ai consumi di gas naturale per la generazione elettrica ed è conteggiata ai soli fini del monitoraggio della Direttiva 2009/28/CE.</t>
  </si>
  <si>
    <t>g CO2/kWh 2018</t>
  </si>
  <si>
    <t>g CO2/kWh 2017</t>
  </si>
  <si>
    <t>DATO AGGIORNATO</t>
  </si>
  <si>
    <t>FC_E - Final consumption - energy use (ktep)</t>
  </si>
  <si>
    <t>NRG_CM_E - Energy sector - coal mines - energy use</t>
  </si>
  <si>
    <t>NRG_OIL_NG_E - Energy sector - oil and natural gas extraction plants - energy use</t>
  </si>
  <si>
    <t>NRG_CO_E - Energy sector - coke ovens - energy use</t>
  </si>
  <si>
    <t>NRG_PR_E - Energy sector - petroleum refineries (oil refineries) - energy use</t>
  </si>
  <si>
    <t>NRG_NI_E - Energy sector - nuclear industry - energy use</t>
  </si>
  <si>
    <t>NRG_NSP_E - Energy sector - not elsewhere specified - energy use</t>
  </si>
  <si>
    <t>Fattore emissione consumi elettrici</t>
  </si>
  <si>
    <t>Produzione elettrica da impianti non cogenerativi</t>
  </si>
  <si>
    <t>Produzione elettrica da impianti cogenerativi</t>
  </si>
  <si>
    <t>RENDIMENTO TERMICO</t>
  </si>
  <si>
    <t>Dati 2019 lorda</t>
  </si>
  <si>
    <t>quadratura</t>
  </si>
  <si>
    <t>di cui biometano</t>
  </si>
  <si>
    <t>Civile</t>
  </si>
  <si>
    <t>Consumi finali di gas naturale - ktep</t>
  </si>
  <si>
    <t>Consumi finali totali</t>
  </si>
  <si>
    <t>% elc su consumi totali</t>
  </si>
  <si>
    <t>% consumi finali GN</t>
  </si>
  <si>
    <t>di cui trasporti (+ magazzinaggio)</t>
  </si>
  <si>
    <t>Biometano</t>
  </si>
  <si>
    <t>Agricoltura</t>
  </si>
  <si>
    <t>Industria + costruzioni</t>
  </si>
  <si>
    <t>Value added, gross</t>
  </si>
  <si>
    <t>Current prices, billion euro</t>
  </si>
  <si>
    <t>billion/TWh</t>
  </si>
  <si>
    <t>Gas naturale + biometano</t>
  </si>
  <si>
    <t>Emissioni di contaminanti atmosferici dal settore elettrico per la produzione di energia elettrica e calore.</t>
  </si>
  <si>
    <t>Rend. elettrico - parco termoelettrico</t>
  </si>
  <si>
    <t>Rend. elettrico equivalente - parco termoelettrico</t>
  </si>
  <si>
    <t>Rend. elettrico - centrali cogenerative</t>
  </si>
  <si>
    <t>Rend. elettrico equivalente - centrali cogenerative</t>
  </si>
  <si>
    <t>Rend. totale - centrali cogenerative</t>
  </si>
  <si>
    <t>Rend. elettrico - centrali non cogenerative</t>
  </si>
  <si>
    <t>Dati 2020 lorda</t>
  </si>
  <si>
    <t>g CO2/kWh 2020</t>
  </si>
  <si>
    <t>g CO2/kWh 2019</t>
  </si>
  <si>
    <t>2020, pci 8190 kcal/m3</t>
  </si>
  <si>
    <t>* Emissioni di CO2 riferite alla quota di combustibili per la produzione elettrica. Nel 2017 e 2018 il fattore di emissione del gas naturale comprende la quota di produzione elettrica da biometano che non ha emissioni di anidride carbonica.</t>
  </si>
  <si>
    <t>9. Emissioni di anidride carbonica dal settore termoelettrico per combustibile e emissioni evitate con produzione rinnovabile</t>
  </si>
  <si>
    <t>0 - 1 MW</t>
  </si>
  <si>
    <t>1 - 10 MW</t>
  </si>
  <si>
    <t>&gt; 10 MW</t>
  </si>
  <si>
    <t>Sola produzione di energia elettrica</t>
  </si>
  <si>
    <t xml:space="preserve"> - Solidi</t>
  </si>
  <si>
    <t>rifiuti solidi urbani biodegradabili(b)</t>
  </si>
  <si>
    <t>biomasse solide</t>
  </si>
  <si>
    <t xml:space="preserve"> - Biogas</t>
  </si>
  <si>
    <t>da rifiuti</t>
  </si>
  <si>
    <t>da fanghi</t>
  </si>
  <si>
    <t>da deiezioni animali</t>
  </si>
  <si>
    <t>da attività agricole e forestali</t>
  </si>
  <si>
    <t xml:space="preserve"> - Bioliquidi</t>
  </si>
  <si>
    <t>oli vegetali grezzi</t>
  </si>
  <si>
    <t>altri bioliquidi</t>
  </si>
  <si>
    <t>Cogenerazione</t>
  </si>
  <si>
    <t>rifiuti solidi urbani biodegradabili</t>
  </si>
  <si>
    <t>Costruzioni</t>
  </si>
  <si>
    <t>Estrattive</t>
  </si>
  <si>
    <t>cambio metodo terna</t>
  </si>
  <si>
    <t>Consumi industria (dettaglio)</t>
  </si>
  <si>
    <t>Manifatturiere</t>
  </si>
  <si>
    <t>Energia, acqua, rifiuti</t>
  </si>
  <si>
    <t>Dati 2021 lorda</t>
  </si>
  <si>
    <t>da pompaggio (puro e misto)</t>
  </si>
  <si>
    <t>2021, pci 8190 kcal/m3</t>
  </si>
  <si>
    <t>1990-2016</t>
  </si>
  <si>
    <t>CDR-CSS</t>
  </si>
  <si>
    <t>Calore prodotto (GWh)</t>
  </si>
  <si>
    <t>Calore prodotto</t>
  </si>
  <si>
    <t>Calore utile (GWh)</t>
  </si>
  <si>
    <t>Efficienza di recupero termico</t>
  </si>
  <si>
    <t>Efficienza di recupero termico (calore utile/calore prodotto)</t>
  </si>
  <si>
    <t>Rendimento elettrico, rendimento totale ed efficienza di recupero termico per tipologia di impianto e tipologia di combustibile. Per gli impianti cogenerativi e per l'intero parco termoelettrico è riportato il rendimento elettrico equivalente. Classificazione dei combustibili secondo Terna.</t>
  </si>
  <si>
    <t>Produzione di calore delle centrali cogenerative e rendimento termico per tipologia di impianto e tipologia di combustibile. Classificazione dei combustibili secondo Terna.</t>
  </si>
  <si>
    <t>Rendimento termico</t>
  </si>
  <si>
    <t>Servizi (senza trasporti)</t>
  </si>
  <si>
    <t>Trasporti (+magazzinaggio)</t>
  </si>
  <si>
    <t>da bilancio gas</t>
  </si>
  <si>
    <t>* Trasmessa a UNFCCC entro il 15 aprile 2023.</t>
  </si>
  <si>
    <t>Electricity efficiency - CHP</t>
  </si>
  <si>
    <t>Electricity efficiency - No CHP</t>
  </si>
  <si>
    <t>Electricity efficiency - Power plants</t>
  </si>
  <si>
    <t>Total efficiency - Power plants</t>
  </si>
  <si>
    <t>Equivalent electrical efficiency - Power plants</t>
  </si>
  <si>
    <t>Equivalent electrical efficiency - CHP</t>
  </si>
  <si>
    <t>Total efficiency - CHP</t>
  </si>
  <si>
    <t>Dati 2022 lorda</t>
  </si>
  <si>
    <t>Indicatori di efficienza e decarbonizzazione del sistema energetico nazionale e del settore elettrico. n. 363/2022.</t>
  </si>
  <si>
    <t>Efficiency and decarbonization indicators in Italy and in the biggest European Countries - Edizione 2023. n. 386/2023.</t>
  </si>
  <si>
    <t xml:space="preserve">Note metodologiche e analisi dei dati sono disponibili nei rapporti ISPRA: </t>
  </si>
  <si>
    <t>Prodotti petrol</t>
  </si>
  <si>
    <t>Coal</t>
  </si>
  <si>
    <t>Bio</t>
  </si>
  <si>
    <t>TWh netti</t>
  </si>
  <si>
    <t>potenza efficiente netta</t>
  </si>
  <si>
    <t>Dati 2010</t>
  </si>
  <si>
    <t>Dati 2015</t>
  </si>
  <si>
    <t>ore</t>
  </si>
  <si>
    <t>% cogenerativa</t>
  </si>
  <si>
    <t>Quota produzione cicli combianti</t>
  </si>
  <si>
    <t>Cicli combinati (produzione)</t>
  </si>
  <si>
    <t>Cicli combinati (potenza)</t>
  </si>
  <si>
    <t>Quota potenza cicli combinati</t>
  </si>
  <si>
    <t>AL</t>
  </si>
  <si>
    <t>CSC</t>
  </si>
  <si>
    <t>CPC</t>
  </si>
  <si>
    <t>CCC</t>
  </si>
  <si>
    <t>TGC</t>
  </si>
  <si>
    <t>CIC</t>
  </si>
  <si>
    <t>RP</t>
  </si>
  <si>
    <t>CC</t>
  </si>
  <si>
    <t>C</t>
  </si>
  <si>
    <t>TG</t>
  </si>
  <si>
    <t>CI</t>
  </si>
  <si>
    <t>Potenza lorda</t>
  </si>
  <si>
    <t>Consumo totale centrali</t>
  </si>
  <si>
    <t>g/kWh</t>
  </si>
  <si>
    <t xml:space="preserve"> PM10</t>
  </si>
  <si>
    <t xml:space="preserve"> NH3</t>
  </si>
  <si>
    <t xml:space="preserve"> N2O</t>
  </si>
  <si>
    <t xml:space="preserve"> CH4</t>
  </si>
  <si>
    <t xml:space="preserve"> CO</t>
  </si>
  <si>
    <t xml:space="preserve"> COVNM</t>
  </si>
  <si>
    <t xml:space="preserve"> SOx</t>
  </si>
  <si>
    <t xml:space="preserve"> NOx</t>
  </si>
  <si>
    <t>Stima F.E. (E.E. totale)</t>
  </si>
  <si>
    <t>Stima F.E. (E.E. da termoelettrico compresa geotermia)</t>
  </si>
  <si>
    <t>t</t>
  </si>
  <si>
    <t>Stima Emissioni (E.E.)</t>
  </si>
  <si>
    <t>Stime Mario (elettrico) kt</t>
  </si>
  <si>
    <t>% differenze</t>
  </si>
  <si>
    <t>Differenze (kt)</t>
  </si>
  <si>
    <t>Stima Emissioni (E.E. + calore)</t>
  </si>
  <si>
    <t>Rapporto tra HEAT/E.E.</t>
  </si>
  <si>
    <t>%</t>
  </si>
  <si>
    <t>Scarto della stima sulle emissioni di CO2 calcolate</t>
  </si>
  <si>
    <t>Mt</t>
  </si>
  <si>
    <r>
      <t xml:space="preserve">Emissioni CO2 da elettricità </t>
    </r>
    <r>
      <rPr>
        <b/>
        <sz val="11"/>
        <color rgb="FFFF0000"/>
        <rFont val="Calibri"/>
        <family val="2"/>
        <scheme val="minor"/>
      </rPr>
      <t>calcolate</t>
    </r>
  </si>
  <si>
    <r>
      <t xml:space="preserve">Emissioni CO2 da elettricità </t>
    </r>
    <r>
      <rPr>
        <b/>
        <sz val="11"/>
        <color rgb="FFFF0000"/>
        <rFont val="Calibri"/>
        <family val="2"/>
        <scheme val="minor"/>
      </rPr>
      <t>stimate</t>
    </r>
  </si>
  <si>
    <t xml:space="preserve"> CO2 - Emis. E.E. e calore (SNAP 0101+0102 / CRF 1.A.1.a)</t>
  </si>
  <si>
    <t>Consumo per la produzione di calore</t>
  </si>
  <si>
    <t>Produzione elettrica lorda totale al netto da pompaggi</t>
  </si>
  <si>
    <t>Produzione termoelettrica lorda (compresa geotermia)</t>
  </si>
  <si>
    <t>Consumo TERNA totale (E.E. e calore)</t>
  </si>
  <si>
    <t>Consumo TERNA per produzione termoelettrica</t>
  </si>
  <si>
    <t>Consumo energetico - CRF 1.A.1.a (E.E. e calore)</t>
  </si>
  <si>
    <t>UM</t>
  </si>
  <si>
    <t>Emissioni da E.E. e calore (SNAP 0101+0102 / CRF 1.A.1.a)</t>
  </si>
  <si>
    <t>Quantità</t>
  </si>
  <si>
    <t>Stima energia primaria</t>
  </si>
  <si>
    <t>Stima fattore conversione in energia primaria</t>
  </si>
  <si>
    <t>2022, pci 8190 kcal/m3</t>
  </si>
  <si>
    <t>Consumi di energia elettrica per settore (TWh).</t>
  </si>
  <si>
    <t>Consumi Terna</t>
  </si>
  <si>
    <t>Elettricità e gas</t>
  </si>
  <si>
    <t>Potenza efficiente lorda per fonte rinnovabile. 2023 stime Ispra su dati preliminari Terna.</t>
  </si>
  <si>
    <t>t CO2 / TJ</t>
  </si>
  <si>
    <t>t CO2 / t</t>
  </si>
  <si>
    <t>t CO2 / toe</t>
  </si>
  <si>
    <t>2005-2012</t>
  </si>
  <si>
    <t>Rifiuti industriali</t>
  </si>
  <si>
    <t>elc/fuel tot</t>
  </si>
  <si>
    <t>elc+heat/fuel tot</t>
  </si>
  <si>
    <t>elc/fuel elc</t>
  </si>
  <si>
    <t>Calore</t>
  </si>
  <si>
    <t>Elettricità CHP</t>
  </si>
  <si>
    <t>Elettricità no CHP</t>
  </si>
  <si>
    <t>Rend totale</t>
  </si>
  <si>
    <t>Rend el. eq.</t>
  </si>
  <si>
    <t>Rend tot</t>
  </si>
  <si>
    <t>variazione annuale</t>
  </si>
  <si>
    <t>Rend totale CHP</t>
  </si>
  <si>
    <t>Rend el. eq. CHP</t>
  </si>
  <si>
    <t>Rend el. no CHP</t>
  </si>
  <si>
    <t>Rend el. Eq. CHP</t>
  </si>
  <si>
    <t>Elettricità termo tot</t>
  </si>
  <si>
    <t>Elettricità totale</t>
  </si>
  <si>
    <t>GWh totali</t>
  </si>
  <si>
    <t>H/E CHP</t>
  </si>
  <si>
    <t>Energia elettrica prodotta GWh</t>
  </si>
  <si>
    <t>Energia consumata TJ</t>
  </si>
  <si>
    <t>H/E tot</t>
  </si>
  <si>
    <t>Rifiuti solidi urbani (quota fossile)</t>
  </si>
  <si>
    <r>
      <t>Perdite di rete</t>
    </r>
    <r>
      <rPr>
        <b/>
        <vertAlign val="superscript"/>
        <sz val="12"/>
        <rFont val="Times New Roman"/>
        <family val="1"/>
      </rPr>
      <t>4</t>
    </r>
  </si>
  <si>
    <t>TITOLO</t>
  </si>
  <si>
    <t>Fattori di emissione per la produzione ed il consumo di energia elettrica in Italia</t>
  </si>
  <si>
    <t>PERIODO DI RIFERIMENTO</t>
  </si>
  <si>
    <t>ABSTRACT</t>
  </si>
  <si>
    <t>AUTORE</t>
  </si>
  <si>
    <t>ISPRA</t>
  </si>
  <si>
    <t>DATA DI PUBBLICAZIONE</t>
  </si>
  <si>
    <t>SITO WEB</t>
  </si>
  <si>
    <t>https://emissioni.sina.isprambiente.it</t>
  </si>
  <si>
    <t>2024*</t>
  </si>
  <si>
    <t>Altre fonti termoelettrico</t>
  </si>
  <si>
    <t>Altri combustibili non rinnovabili</t>
  </si>
  <si>
    <t>Pompaggi</t>
  </si>
  <si>
    <t>Totale nazionale</t>
  </si>
  <si>
    <t>Mix nazionale della produzione elettrica lorda</t>
  </si>
  <si>
    <r>
      <t>Consumi elettrici</t>
    </r>
    <r>
      <rPr>
        <b/>
        <vertAlign val="superscript"/>
        <sz val="12"/>
        <rFont val="Times New Roman"/>
        <family val="1"/>
      </rPr>
      <t>3</t>
    </r>
  </si>
  <si>
    <r>
      <t>Produzione termoelettrica lorda e calore</t>
    </r>
    <r>
      <rPr>
        <b/>
        <vertAlign val="superscript"/>
        <sz val="12"/>
        <rFont val="Times New Roman"/>
        <family val="1"/>
      </rPr>
      <t>1,5</t>
    </r>
  </si>
  <si>
    <r>
      <t>Produzione elettrica lorda e calore</t>
    </r>
    <r>
      <rPr>
        <b/>
        <vertAlign val="superscript"/>
        <sz val="12"/>
        <rFont val="Times New Roman"/>
        <family val="1"/>
      </rPr>
      <t>2,5</t>
    </r>
  </si>
  <si>
    <r>
      <t>Produzione di calore</t>
    </r>
    <r>
      <rPr>
        <b/>
        <vertAlign val="superscript"/>
        <sz val="12"/>
        <rFont val="Times New Roman"/>
        <family val="1"/>
      </rPr>
      <t>5</t>
    </r>
  </si>
  <si>
    <t>Produzione termoelettrica lorda
(solo fossili)</t>
  </si>
  <si>
    <r>
      <rPr>
        <vertAlign val="superscript"/>
        <sz val="12"/>
        <rFont val="Times New Roman"/>
        <family val="1"/>
      </rPr>
      <t>3</t>
    </r>
    <r>
      <rPr>
        <sz val="12"/>
        <rFont val="Times New Roman"/>
        <family val="1"/>
      </rPr>
      <t xml:space="preserve"> incluse le perdite di rete e la quota importata</t>
    </r>
  </si>
  <si>
    <r>
      <rPr>
        <vertAlign val="superscript"/>
        <sz val="12"/>
        <rFont val="Times New Roman"/>
        <family val="1"/>
      </rPr>
      <t>4</t>
    </r>
    <r>
      <rPr>
        <sz val="12"/>
        <rFont val="Times New Roman"/>
        <family val="1"/>
      </rPr>
      <t xml:space="preserve"> fattore di emissione della produzione elettrica per la quota di perdite di energia elettrica prodotta</t>
    </r>
  </si>
  <si>
    <r>
      <rPr>
        <vertAlign val="superscript"/>
        <sz val="12"/>
        <rFont val="Times New Roman"/>
        <family val="1"/>
      </rPr>
      <t>5</t>
    </r>
    <r>
      <rPr>
        <sz val="12"/>
        <rFont val="Times New Roman"/>
        <family val="1"/>
      </rPr>
      <t xml:space="preserve"> considerate anche le emissioni di CO2 per la produzione di calore (calore convertito in kWh)</t>
    </r>
  </si>
  <si>
    <t>Efficiency and decarbonization indicators in Italy and in the biggest European Countries - Edizione 2024. n. 404/2024.</t>
  </si>
  <si>
    <t>Dati 2023 lorda</t>
  </si>
  <si>
    <t>Benzina</t>
  </si>
  <si>
    <t>2023, pci 8190 kcal/m3</t>
  </si>
  <si>
    <t>1990-2023</t>
  </si>
  <si>
    <t xml:space="preserve">Serie storica dei fattori di emissione nazionali (1990-2023) per la produzione ed il consumo di elettricità. </t>
  </si>
  <si>
    <t>Produzione termoelettrica lorda per combustibile. * stime Ispra su dati preliminari Terna.</t>
  </si>
  <si>
    <t>Percentuale della produzione termoelettrica lorda per combustibile. * stime Ispra su dati preliminari Terna.</t>
  </si>
  <si>
    <t>Quota della produzione elettrica lorda nazionale dalle diverse fonti.* Stime Ispra su dati Terna.</t>
  </si>
  <si>
    <t>Produzione elettrica lorda per fonte rinnovabile. La produzione idroelettrica è riportata al netto della produzione da pompaggi. * stime Ispra su dati preliminari Terna.</t>
  </si>
  <si>
    <t>Produzione elettrica lorda per fonte. * stime Ispra su dati preliminari Terna.</t>
  </si>
  <si>
    <r>
      <t>Emissioni di CO</t>
    </r>
    <r>
      <rPr>
        <i/>
        <vertAlign val="subscript"/>
        <sz val="12"/>
        <color theme="1"/>
        <rFont val="Times New Roman"/>
        <family val="1"/>
      </rPr>
      <t>2</t>
    </r>
    <r>
      <rPr>
        <i/>
        <sz val="12"/>
        <color theme="1"/>
        <rFont val="Times New Roman"/>
        <family val="1"/>
      </rPr>
      <t xml:space="preserve"> da produzione di energia elettrica dal settore termoelettrico per combustibile. * stime Ispra su dati preliminari Terna.(1) </t>
    </r>
  </si>
  <si>
    <r>
      <t>Emissioni di CO</t>
    </r>
    <r>
      <rPr>
        <i/>
        <vertAlign val="subscript"/>
        <sz val="12"/>
        <color theme="1"/>
        <rFont val="Times New Roman"/>
        <family val="1"/>
      </rPr>
      <t>2</t>
    </r>
    <r>
      <rPr>
        <i/>
        <sz val="12"/>
        <color theme="1"/>
        <rFont val="Times New Roman"/>
        <family val="1"/>
      </rPr>
      <t xml:space="preserve"> da produzione elettrica, emissioni evitate con produzione da fonti rinnovabili e emissioni teoriche senza fonti rinnovabili. * stime Ispra su dati preliminari Terna.</t>
    </r>
  </si>
  <si>
    <r>
      <t>Emissioni di CO</t>
    </r>
    <r>
      <rPr>
        <i/>
        <vertAlign val="subscript"/>
        <sz val="12"/>
        <color theme="1"/>
        <rFont val="Times New Roman"/>
        <family val="1"/>
      </rPr>
      <t>2</t>
    </r>
    <r>
      <rPr>
        <i/>
        <sz val="12"/>
        <color theme="1"/>
        <rFont val="Times New Roman"/>
        <family val="1"/>
      </rPr>
      <t xml:space="preserve"> dal settore elettrico per la produzione di energia elettrica e calore. * stime Ispra su dati preliminari Terna.</t>
    </r>
  </si>
  <si>
    <r>
      <t>Emissioni di CO</t>
    </r>
    <r>
      <rPr>
        <i/>
        <vertAlign val="subscript"/>
        <sz val="12"/>
        <color theme="1"/>
        <rFont val="Times New Roman"/>
        <family val="1"/>
      </rPr>
      <t>2</t>
    </r>
    <r>
      <rPr>
        <i/>
        <sz val="12"/>
        <color theme="1"/>
        <rFont val="Times New Roman"/>
        <family val="1"/>
      </rPr>
      <t xml:space="preserve"> da produzione di calore dal settore termoelettrico per combustibile. * stime Ispra su dati preliminari Terna.(2)</t>
    </r>
  </si>
  <si>
    <t>Dati di produzione e consumo di energia elettrica. * stime Ispra su dati preliminari Terna.</t>
  </si>
  <si>
    <r>
      <t>Fattori di emissione di CO</t>
    </r>
    <r>
      <rPr>
        <i/>
        <vertAlign val="subscript"/>
        <sz val="12"/>
        <color theme="1"/>
        <rFont val="Times New Roman"/>
        <family val="1"/>
      </rPr>
      <t>2</t>
    </r>
    <r>
      <rPr>
        <i/>
        <sz val="12"/>
        <color theme="1"/>
        <rFont val="Times New Roman"/>
        <family val="1"/>
      </rPr>
      <t xml:space="preserve"> per la produzione elettrica, produzione di calore e dei consumi elettrici. * stime preliminari Ispra</t>
    </r>
  </si>
  <si>
    <r>
      <t>Andamento del fattore di emissione di CO</t>
    </r>
    <r>
      <rPr>
        <i/>
        <vertAlign val="subscript"/>
        <sz val="12"/>
        <color theme="1"/>
        <rFont val="Times New Roman"/>
        <family val="1"/>
      </rPr>
      <t>2</t>
    </r>
    <r>
      <rPr>
        <i/>
        <sz val="12"/>
        <color theme="1"/>
        <rFont val="Times New Roman"/>
        <family val="1"/>
      </rPr>
      <t xml:space="preserve"> in grammi per kWh elettrico prodotto (lordo) e consumato. 
La produzione termoelettrica comprende anche la generazione da biomasse, bioliquidi e biogas.
Nella produzione elettrica totale è compresa la generazione elettrica da fonti rinnovabili.
Nei consumi elettrici sono considerate le perdite di rete, l'energia richiesta dai servizi ausiliari e la quota di energia elettrica importata.
* stime preliminari Ispra.</t>
    </r>
  </si>
  <si>
    <t>Consumi energetici e rendimenti del parco termoelettrico. * stime preliminari</t>
  </si>
  <si>
    <t>Emissioni di gas serra dal settore elettrico per la produzione di energia elettrica e calore. Le emissioni storiche possono essere soggette a revisioni. * stime preliminari</t>
  </si>
  <si>
    <r>
      <t>Fattori di emissioni di anidride carbonica da produzione termoelettrica lorda per combustibile</t>
    </r>
    <r>
      <rPr>
        <sz val="12"/>
        <color theme="1"/>
        <rFont val="Times New Roman"/>
        <family val="1"/>
      </rPr>
      <t>.</t>
    </r>
  </si>
  <si>
    <r>
      <t>Variazione annuale rispetto al 1990 della produzione termoelettrica e delle emissioni di CO</t>
    </r>
    <r>
      <rPr>
        <i/>
        <vertAlign val="subscript"/>
        <sz val="12"/>
        <color theme="1"/>
        <rFont val="Times"/>
      </rPr>
      <t>2</t>
    </r>
    <r>
      <rPr>
        <i/>
        <sz val="12"/>
        <color theme="1"/>
        <rFont val="Times"/>
        <family val="1"/>
      </rPr>
      <t xml:space="preserve"> per combustibile (1990=100). * stime Ispra su dati preliminari Terna.</t>
    </r>
  </si>
  <si>
    <r>
      <t>Andamento della quota di CO</t>
    </r>
    <r>
      <rPr>
        <i/>
        <vertAlign val="subscript"/>
        <sz val="12"/>
        <color theme="1"/>
        <rFont val="Times"/>
      </rPr>
      <t>2</t>
    </r>
    <r>
      <rPr>
        <i/>
        <sz val="12"/>
        <color theme="1"/>
        <rFont val="Times"/>
        <family val="1"/>
      </rPr>
      <t xml:space="preserve"> da produzione termoelettrica per combustibile. * stime Ispra su dati preliminari Terna.</t>
    </r>
  </si>
  <si>
    <t>Media ponderata: Idrocarburi pesanti per gassificazione+Gas di sintesi</t>
  </si>
  <si>
    <t>Accumuli stand alone</t>
  </si>
  <si>
    <t>di cui da accumuli stand alone</t>
  </si>
  <si>
    <t>Fattori di emissione di gas serra dal settore elettrico per la produzione lorda di energia elettrica e calore al netto dei pompaggi e degli accumuli. * stime preliminari</t>
  </si>
  <si>
    <t>Stima di emissioni di gas serra dal settore elettrico per la produzione di energia elettrica.* stime preliminari</t>
  </si>
  <si>
    <t>Stima dei fattori di emissione di gas serra dal settore elettrico per il consumo elettrico.* stime preliminari</t>
  </si>
  <si>
    <t>Dati di autoproduzione e autoconsumo di energia elettrica.</t>
  </si>
  <si>
    <r>
      <rPr>
        <vertAlign val="superscript"/>
        <sz val="12"/>
        <rFont val="Times New Roman"/>
        <family val="1"/>
      </rPr>
      <t>2</t>
    </r>
    <r>
      <rPr>
        <sz val="12"/>
        <rFont val="Times New Roman"/>
        <family val="1"/>
      </rPr>
      <t xml:space="preserve"> incluse rinnovabili, al netto di apporti da pompaggio e da accumulo</t>
    </r>
  </si>
  <si>
    <t>Stima dei fattori di emissione di gas serra dal settore elettrico per la produzione lorda di energia elettrica al netto dei pompaggi e degli accumuli.* stime preliminari</t>
  </si>
  <si>
    <t>Gas naturale**</t>
  </si>
  <si>
    <t>** La quota di produzione elettrica da biometano nel 2017 e 2018 ha emissioni zero.</t>
  </si>
  <si>
    <t>Assorbita da accumuli stand alone</t>
  </si>
  <si>
    <t>Cessioni degli Autoproduttori</t>
  </si>
  <si>
    <t>dato Terna</t>
  </si>
  <si>
    <t>Note</t>
  </si>
  <si>
    <t>Valori di default per tutti gli anni</t>
  </si>
  <si>
    <t>IPCC, 2006</t>
  </si>
  <si>
    <t>GPL/Distillati leggeri</t>
  </si>
  <si>
    <t>Naphta</t>
  </si>
  <si>
    <t>Kerosene</t>
  </si>
  <si>
    <t>Produzione lorda per combustibile/fonte e consumi di energia elettrica. * Stime Ispra su dati Terna.</t>
  </si>
  <si>
    <t>* stime preliminari</t>
  </si>
  <si>
    <t>Le emissioni di CO2 nel settore elettrico nazionale e regionale. n. 413/2025</t>
  </si>
  <si>
    <t>Emissioni di CO2</t>
  </si>
  <si>
    <t>Emissioni evitate</t>
  </si>
  <si>
    <t>Emissioni teoriche senza FER</t>
  </si>
  <si>
    <t/>
  </si>
  <si>
    <t>07.05.2025</t>
  </si>
  <si>
    <t>[4] Si considera il contributo della fonte idroelettrica (compreso pompaggio), eolica e fotovoltaica.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</si>
</sst>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 #,##0.00_-;_-* &quot;-&quot;??_-;_-@_-"/>
    <numFmt numFmtId="164" formatCode="_-* #,##0.00\ _€_-;\-* #,##0.00\ _€_-;_-* &quot;-&quot;??\ _€_-;_-@_-"/>
    <numFmt numFmtId="165" formatCode="_(* #,##0.00_);_(* \(#,##0.00\);_(* &quot;-&quot;??_);_(@_)"/>
    <numFmt numFmtId="166" formatCode="0.000"/>
    <numFmt numFmtId="167" formatCode="#,##0.000"/>
    <numFmt numFmtId="168" formatCode="0.0000000"/>
    <numFmt numFmtId="169" formatCode="_(* #,##0.000_);_(* \(#,##0.000\);_(* &quot;-&quot;??_);_(@_)"/>
    <numFmt numFmtId="170" formatCode="_-* #,##0.0_-;\-* #,##0.0_-;_-* &quot;-&quot;?_-;_-@_-"/>
    <numFmt numFmtId="171" formatCode="#,##0.0"/>
    <numFmt numFmtId="172" formatCode="_-* #,##0.0_-;\-* #,##0.0_-;_-* &quot;-&quot;??_-;_-@_-"/>
    <numFmt numFmtId="173" formatCode="0.0%"/>
    <numFmt numFmtId="174" formatCode="_(* #,##0_);_(* \(#,##0\);_(* &quot;-&quot;??_);_(@_)"/>
    <numFmt numFmtId="175" formatCode="0.0"/>
    <numFmt numFmtId="176" formatCode="#,##0.0000"/>
    <numFmt numFmtId="177" formatCode="_(* #,##0.0000_);_(* \(#,##0.0000\);_(* &quot;-&quot;??_);_(@_)"/>
    <numFmt numFmtId="178" formatCode="_(* #,##0.0_);_(* \(#,##0.0\);_(* &quot;-&quot;?_);_(@_)"/>
    <numFmt numFmtId="179" formatCode="_(* #,##0.0_);_(* \(#,##0.0\);_(* &quot;-&quot;??_);_(@_)"/>
    <numFmt numFmtId="180" formatCode="_-* #,##0.000_-;\-* #,##0.000_-;_-* &quot;-&quot;??_-;_-@_-"/>
    <numFmt numFmtId="181" formatCode="_-* #,##0_-;\-* #,##0_-;_-* &quot;-&quot;??_-;_-@_-"/>
    <numFmt numFmtId="182" formatCode="_-* #,##0_-;\-* #,##0_-;_-* &quot;-&quot;???_-;_-@_-"/>
    <numFmt numFmtId="183" formatCode="0.0000"/>
    <numFmt numFmtId="184" formatCode="_(* #,##0.00000_);_(* \(#,##0.00000\);_(* &quot;-&quot;??_);_(@_)"/>
    <numFmt numFmtId="185" formatCode="_-* #,##0.0000_-;\-* #,##0.0000_-;_-* &quot;-&quot;??_-;_-@_-"/>
    <numFmt numFmtId="186" formatCode="_-* #,##0.00000_-;\-* #,##0.00000_-;_-* &quot;-&quot;??_-;_-@_-"/>
    <numFmt numFmtId="187" formatCode="_(* #,##0.000000_);_(* \(#,##0.000000\);_(* &quot;-&quot;??_);_(@_)"/>
    <numFmt numFmtId="188" formatCode="_-* #,##0.000000000_-;\-* #,##0.000000000_-;_-* &quot;-&quot;??_-;_-@_-"/>
    <numFmt numFmtId="189" formatCode="_-* #,##0.0\ _€_-;\-* #,##0.0\ _€_-;_-* &quot;-&quot;??\ _€_-;_-@_-"/>
    <numFmt numFmtId="190" formatCode="#,##0.00_ ;\-#,##0.00\ "/>
    <numFmt numFmtId="191" formatCode="#,##0.00000"/>
    <numFmt numFmtId="192" formatCode="_-* #,##0.0\ _€_-;\-* #,##0.0\ _€_-;_-* &quot;-&quot;?\ _€_-;_-@_-"/>
    <numFmt numFmtId="193" formatCode="_-* #,##0.000\ _€_-;\-* #,##0.000\ _€_-;_-* &quot;-&quot;??\ _€_-;_-@_-"/>
    <numFmt numFmtId="194" formatCode="#,##0.0000000000"/>
    <numFmt numFmtId="195" formatCode="_-* #,##0.000000_-;\-* #,##0.000000_-;_-* &quot;-&quot;??_-;_-@_-"/>
  </numFmts>
  <fonts count="102">
    <font>
      <sz val="11"/>
      <color theme="1"/>
      <name val="Calibri"/>
      <family val="2"/>
      <scheme val="minor"/>
    </font>
    <font>
      <i/>
      <sz val="12"/>
      <color theme="1"/>
      <name val="Times"/>
      <family val="1"/>
    </font>
    <font>
      <sz val="12"/>
      <color theme="1"/>
      <name val="Times"/>
      <family val="1"/>
    </font>
    <font>
      <b/>
      <sz val="12"/>
      <name val="Times"/>
      <family val="1"/>
    </font>
    <font>
      <b/>
      <i/>
      <sz val="12"/>
      <name val="Times"/>
      <family val="1"/>
    </font>
    <font>
      <sz val="12"/>
      <name val="Times"/>
      <family val="1"/>
    </font>
    <font>
      <sz val="11"/>
      <color theme="1"/>
      <name val="Calibri"/>
      <family val="2"/>
      <scheme val="minor"/>
    </font>
    <font>
      <b/>
      <sz val="10"/>
      <name val="Arial"/>
      <family val="2"/>
    </font>
    <font>
      <sz val="10"/>
      <name val="Arial"/>
      <family val="2"/>
    </font>
    <font>
      <sz val="11"/>
      <color theme="1"/>
      <name val="Times"/>
      <family val="1"/>
    </font>
    <font>
      <sz val="12"/>
      <color theme="1"/>
      <name val="Times New Roman"/>
      <family val="1"/>
    </font>
    <font>
      <vertAlign val="subscript"/>
      <sz val="12"/>
      <color theme="1"/>
      <name val="Times New Roman"/>
      <family val="1"/>
    </font>
    <font>
      <b/>
      <sz val="12"/>
      <color theme="1"/>
      <name val="Times New Roman"/>
      <family val="1"/>
    </font>
    <font>
      <i/>
      <sz val="12"/>
      <color theme="1"/>
      <name val="Times New Roman"/>
      <family val="1"/>
    </font>
    <font>
      <vertAlign val="subscript"/>
      <sz val="12"/>
      <color indexed="8"/>
      <name val="Times New Roman"/>
      <family val="1"/>
    </font>
    <font>
      <sz val="12"/>
      <color indexed="8"/>
      <name val="Times New Roman"/>
      <family val="1"/>
    </font>
    <font>
      <sz val="10"/>
      <color theme="1"/>
      <name val="Times New Roman"/>
      <family val="1"/>
    </font>
    <font>
      <vertAlign val="superscript"/>
      <sz val="12"/>
      <color indexed="8"/>
      <name val="Times New Roman"/>
      <family val="1"/>
    </font>
    <font>
      <vertAlign val="superscript"/>
      <sz val="12"/>
      <color theme="1"/>
      <name val="Times New Roman"/>
      <family val="1"/>
    </font>
    <font>
      <b/>
      <sz val="12"/>
      <name val="Times New Roman"/>
      <family val="1"/>
    </font>
    <font>
      <b/>
      <vertAlign val="superscript"/>
      <sz val="12"/>
      <name val="Times New Roman"/>
      <family val="1"/>
    </font>
    <font>
      <sz val="12"/>
      <name val="Times New Roman"/>
      <family val="1"/>
    </font>
    <font>
      <vertAlign val="superscript"/>
      <sz val="12"/>
      <name val="Times New Roman"/>
      <family val="1"/>
    </font>
    <font>
      <b/>
      <vertAlign val="subscript"/>
      <sz val="12"/>
      <name val="Times New Roman"/>
      <family val="1"/>
    </font>
    <font>
      <b/>
      <i/>
      <sz val="12"/>
      <name val="Times New Roman"/>
      <family val="1"/>
    </font>
    <font>
      <i/>
      <sz val="12"/>
      <name val="Times New Roman"/>
      <family val="1"/>
    </font>
    <font>
      <sz val="12"/>
      <color rgb="FF000000"/>
      <name val="Times New Roman"/>
      <family val="1"/>
    </font>
    <font>
      <u/>
      <sz val="11"/>
      <color theme="10"/>
      <name val="Calibri"/>
      <family val="2"/>
    </font>
    <font>
      <u/>
      <sz val="12"/>
      <color theme="10"/>
      <name val="Times New Roman"/>
      <family val="1"/>
    </font>
    <font>
      <sz val="9"/>
      <name val="Arial"/>
      <family val="2"/>
    </font>
    <font>
      <b/>
      <sz val="9"/>
      <name val="Arial"/>
      <family val="2"/>
    </font>
    <font>
      <sz val="11"/>
      <name val="Times New Roman"/>
      <family val="1"/>
    </font>
    <font>
      <b/>
      <vertAlign val="subscript"/>
      <sz val="10"/>
      <name val="Arial"/>
      <family val="2"/>
    </font>
    <font>
      <b/>
      <sz val="11"/>
      <color theme="1"/>
      <name val="Calibri"/>
      <family val="2"/>
      <scheme val="minor"/>
    </font>
    <font>
      <i/>
      <sz val="11"/>
      <color theme="1"/>
      <name val="Times New Roman"/>
      <family val="1"/>
    </font>
    <font>
      <sz val="11"/>
      <color theme="1"/>
      <name val="Times New Roman"/>
      <family val="1"/>
    </font>
    <font>
      <b/>
      <sz val="11"/>
      <color theme="1"/>
      <name val="Times New Roman"/>
      <family val="1"/>
    </font>
    <font>
      <b/>
      <vertAlign val="subscript"/>
      <sz val="11"/>
      <color theme="1"/>
      <name val="Times New Roman"/>
      <family val="1"/>
    </font>
    <font>
      <i/>
      <vertAlign val="subscript"/>
      <sz val="12"/>
      <color theme="1"/>
      <name val="Times New Roman"/>
      <family val="1"/>
    </font>
    <font>
      <b/>
      <u/>
      <sz val="12"/>
      <color theme="10"/>
      <name val="Times New Roman"/>
      <family val="1"/>
    </font>
    <font>
      <b/>
      <sz val="12"/>
      <color theme="1"/>
      <name val="Times"/>
      <family val="1"/>
    </font>
    <font>
      <sz val="11"/>
      <name val="Calibri"/>
      <family val="2"/>
      <scheme val="minor"/>
    </font>
    <font>
      <i/>
      <sz val="12"/>
      <name val="Times"/>
      <family val="1"/>
    </font>
    <font>
      <b/>
      <sz val="11"/>
      <name val="Times New Roman"/>
      <family val="1"/>
    </font>
    <font>
      <sz val="10"/>
      <color rgb="FF000000"/>
      <name val="Arial"/>
      <family val="2"/>
    </font>
    <font>
      <sz val="9"/>
      <color rgb="FF333333"/>
      <name val="Arial"/>
      <family val="2"/>
    </font>
    <font>
      <b/>
      <sz val="10"/>
      <color theme="1"/>
      <name val="Arial"/>
      <family val="2"/>
    </font>
    <font>
      <sz val="10"/>
      <color theme="1"/>
      <name val="Arial"/>
      <family val="2"/>
    </font>
    <font>
      <b/>
      <i/>
      <sz val="12"/>
      <name val="Times"/>
      <family val="1"/>
    </font>
    <font>
      <i/>
      <sz val="12"/>
      <color theme="1"/>
      <name val="Times"/>
      <family val="1"/>
    </font>
    <font>
      <sz val="9"/>
      <color indexed="81"/>
      <name val="Tahoma"/>
      <family val="2"/>
    </font>
    <font>
      <b/>
      <sz val="9"/>
      <color indexed="81"/>
      <name val="Tahoma"/>
      <family val="2"/>
    </font>
    <font>
      <sz val="11"/>
      <color rgb="FFFF0000"/>
      <name val="Calibri"/>
      <family val="2"/>
      <scheme val="minor"/>
    </font>
    <font>
      <b/>
      <sz val="11"/>
      <color rgb="FFFF0000"/>
      <name val="Calibri"/>
      <family val="2"/>
      <scheme val="minor"/>
    </font>
    <font>
      <b/>
      <sz val="8"/>
      <color indexed="81"/>
      <name val="Tahoma"/>
      <family val="2"/>
    </font>
    <font>
      <sz val="8"/>
      <color indexed="81"/>
      <name val="Tahoma"/>
      <family val="2"/>
    </font>
    <font>
      <i/>
      <sz val="10"/>
      <color theme="1"/>
      <name val="Calibri"/>
      <family val="2"/>
      <scheme val="minor"/>
    </font>
    <font>
      <b/>
      <sz val="11"/>
      <color rgb="FF15BC08"/>
      <name val="Calibri"/>
      <family val="2"/>
      <scheme val="minor"/>
    </font>
    <font>
      <sz val="11"/>
      <color rgb="FF15BC08"/>
      <name val="Calibri"/>
      <family val="2"/>
      <scheme val="minor"/>
    </font>
    <font>
      <b/>
      <sz val="12"/>
      <name val="Times"/>
      <family val="1"/>
    </font>
    <font>
      <sz val="12"/>
      <color theme="1"/>
      <name val="Times"/>
      <family val="1"/>
    </font>
    <font>
      <sz val="12"/>
      <name val="Times"/>
      <family val="1"/>
    </font>
    <font>
      <b/>
      <i/>
      <sz val="11"/>
      <name val="Times New Roman"/>
      <family val="1"/>
    </font>
    <font>
      <b/>
      <i/>
      <sz val="11"/>
      <color theme="1"/>
      <name val="Times New Roman"/>
      <family val="1"/>
    </font>
    <font>
      <b/>
      <vertAlign val="subscript"/>
      <sz val="12"/>
      <color theme="1"/>
      <name val="Times New Roman"/>
      <family val="1"/>
    </font>
    <font>
      <sz val="12"/>
      <color rgb="FFFF0000"/>
      <name val="Times"/>
      <family val="1"/>
    </font>
    <font>
      <b/>
      <sz val="12"/>
      <color rgb="FFFF0000"/>
      <name val="Times"/>
      <family val="1"/>
    </font>
    <font>
      <strike/>
      <sz val="11"/>
      <color theme="1"/>
      <name val="Calibri"/>
      <family val="2"/>
      <scheme val="minor"/>
    </font>
    <font>
      <b/>
      <sz val="12"/>
      <color rgb="FFFF0000"/>
      <name val="Times New Roman"/>
      <family val="1"/>
    </font>
    <font>
      <b/>
      <sz val="12"/>
      <color rgb="FFFF0000"/>
      <name val="Times"/>
      <family val="1"/>
    </font>
    <font>
      <i/>
      <sz val="11"/>
      <color theme="1"/>
      <name val="Calibri"/>
      <family val="2"/>
      <scheme val="minor"/>
    </font>
    <font>
      <b/>
      <sz val="11"/>
      <name val="Calibri"/>
      <family val="2"/>
      <scheme val="minor"/>
    </font>
    <font>
      <i/>
      <sz val="12"/>
      <name val="Times"/>
      <family val="1"/>
    </font>
    <font>
      <sz val="10"/>
      <color rgb="FFFF0000"/>
      <name val="Arial"/>
      <family val="2"/>
    </font>
    <font>
      <sz val="11"/>
      <name val="Arial"/>
      <family val="2"/>
    </font>
    <font>
      <b/>
      <sz val="10"/>
      <color rgb="FFFF0000"/>
      <name val="Arial"/>
      <family val="2"/>
    </font>
    <font>
      <b/>
      <sz val="12"/>
      <color theme="1"/>
      <name val="Times"/>
      <family val="1"/>
    </font>
    <font>
      <sz val="12"/>
      <color rgb="FFFF0000"/>
      <name val="Times New Roman"/>
      <family val="1"/>
    </font>
    <font>
      <i/>
      <sz val="11"/>
      <name val="Calibri"/>
      <family val="2"/>
      <scheme val="minor"/>
    </font>
    <font>
      <b/>
      <sz val="11"/>
      <color theme="1"/>
      <name val="Times"/>
      <family val="1"/>
    </font>
    <font>
      <i/>
      <sz val="10"/>
      <name val="Arial"/>
      <family val="2"/>
    </font>
    <font>
      <b/>
      <sz val="12"/>
      <name val="Calibri"/>
      <family val="2"/>
      <scheme val="minor"/>
    </font>
    <font>
      <b/>
      <i/>
      <sz val="12"/>
      <color theme="1"/>
      <name val="Calibri"/>
      <family val="2"/>
      <scheme val="minor"/>
    </font>
    <font>
      <b/>
      <sz val="12"/>
      <name val="Times"/>
      <family val="1"/>
    </font>
    <font>
      <sz val="12"/>
      <name val="Times"/>
      <family val="1"/>
    </font>
    <font>
      <i/>
      <sz val="12"/>
      <name val="Times"/>
      <family val="1"/>
    </font>
    <font>
      <i/>
      <u/>
      <sz val="12"/>
      <color theme="10"/>
      <name val="Times New Roman"/>
      <family val="1"/>
    </font>
    <font>
      <b/>
      <sz val="11"/>
      <name val="Arial"/>
      <family val="2"/>
    </font>
    <font>
      <b/>
      <sz val="12"/>
      <color theme="1"/>
      <name val="Times"/>
    </font>
    <font>
      <b/>
      <i/>
      <sz val="12"/>
      <color theme="1"/>
      <name val="Times New Roman"/>
      <family val="1"/>
    </font>
    <font>
      <b/>
      <i/>
      <sz val="11"/>
      <name val="Calibri"/>
      <family val="2"/>
      <scheme val="minor"/>
    </font>
    <font>
      <sz val="11"/>
      <color theme="1"/>
      <name val="Titillium Web Regular"/>
    </font>
    <font>
      <sz val="11"/>
      <color rgb="FF87A1D3"/>
      <name val="Titillium Web Regular"/>
    </font>
    <font>
      <b/>
      <sz val="24"/>
      <color theme="0"/>
      <name val="Titillium Web Regular"/>
    </font>
    <font>
      <sz val="28"/>
      <color theme="0"/>
      <name val="Titillium Web Regular"/>
    </font>
    <font>
      <sz val="18"/>
      <color theme="0"/>
      <name val="Titillium Web Regular"/>
    </font>
    <font>
      <sz val="14"/>
      <color theme="0"/>
      <name val="Titillium Web Regular"/>
    </font>
    <font>
      <u/>
      <sz val="11"/>
      <color theme="10"/>
      <name val="Calibri"/>
      <family val="2"/>
      <scheme val="minor"/>
    </font>
    <font>
      <u/>
      <sz val="14"/>
      <color theme="0"/>
      <name val="Titillium Web Regular"/>
    </font>
    <font>
      <b/>
      <i/>
      <sz val="12"/>
      <color theme="1"/>
      <name val="Times"/>
    </font>
    <font>
      <i/>
      <sz val="10"/>
      <name val="Calibri"/>
      <family val="2"/>
      <scheme val="minor"/>
    </font>
    <font>
      <i/>
      <vertAlign val="subscript"/>
      <sz val="12"/>
      <color theme="1"/>
      <name val="Times"/>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00B0F0"/>
        <bgColor indexed="64"/>
      </patternFill>
    </fill>
    <fill>
      <patternFill patternType="solid">
        <fgColor indexed="44"/>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254368"/>
        <bgColor indexed="64"/>
      </patternFill>
    </fill>
    <fill>
      <patternFill patternType="solid">
        <fgColor theme="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rgb="FFEBEBEB"/>
      </bottom>
      <diagonal/>
    </border>
    <border>
      <left style="medium">
        <color indexed="64"/>
      </left>
      <right style="medium">
        <color indexed="64"/>
      </right>
      <top style="thin">
        <color rgb="FFEBEBEB"/>
      </top>
      <bottom style="thin">
        <color rgb="FFEBEBEB"/>
      </bottom>
      <diagonal/>
    </border>
    <border>
      <left style="medium">
        <color indexed="64"/>
      </left>
      <right style="medium">
        <color indexed="64"/>
      </right>
      <top style="thin">
        <color rgb="FFEBEBEB"/>
      </top>
      <bottom/>
      <diagonal/>
    </border>
    <border>
      <left style="medium">
        <color indexed="64"/>
      </left>
      <right style="medium">
        <color indexed="64"/>
      </right>
      <top style="thin">
        <color rgb="FFEBEBEB"/>
      </top>
      <bottom style="medium">
        <color indexed="64"/>
      </bottom>
      <diagonal/>
    </border>
    <border>
      <left style="thin">
        <color rgb="FFEBEBEB"/>
      </left>
      <right style="medium">
        <color indexed="64"/>
      </right>
      <top style="medium">
        <color indexed="64"/>
      </top>
      <bottom style="thin">
        <color rgb="FFEBEBEB"/>
      </bottom>
      <diagonal/>
    </border>
    <border>
      <left style="thin">
        <color rgb="FFEBEBEB"/>
      </left>
      <right style="medium">
        <color indexed="64"/>
      </right>
      <top style="thin">
        <color rgb="FFEBEBEB"/>
      </top>
      <bottom style="thin">
        <color rgb="FFEBEBEB"/>
      </bottom>
      <diagonal/>
    </border>
    <border>
      <left style="thin">
        <color rgb="FFEBEBEB"/>
      </left>
      <right style="medium">
        <color indexed="64"/>
      </right>
      <top style="thin">
        <color rgb="FFEBEBEB"/>
      </top>
      <bottom style="medium">
        <color indexed="64"/>
      </bottom>
      <diagonal/>
    </border>
    <border>
      <left style="thin">
        <color rgb="FFEBEBEB"/>
      </left>
      <right style="medium">
        <color indexed="64"/>
      </right>
      <top/>
      <bottom style="thin">
        <color rgb="FFEBEBEB"/>
      </bottom>
      <diagonal/>
    </border>
    <border>
      <left/>
      <right style="medium">
        <color indexed="64"/>
      </right>
      <top style="thin">
        <color rgb="FFEBEBEB"/>
      </top>
      <bottom style="thin">
        <color rgb="FFEBEBEB"/>
      </bottom>
      <diagonal/>
    </border>
    <border>
      <left/>
      <right style="medium">
        <color indexed="64"/>
      </right>
      <top/>
      <bottom style="thin">
        <color rgb="FFEBEBEB"/>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rgb="FFEBEBEB"/>
      </left>
      <right style="medium">
        <color indexed="64"/>
      </right>
      <top style="thin">
        <color rgb="FFEBEBEB"/>
      </top>
      <bottom/>
      <diagonal/>
    </border>
    <border>
      <left style="thin">
        <color rgb="FFEBEBEB"/>
      </left>
      <right style="medium">
        <color indexed="64"/>
      </right>
      <top/>
      <bottom style="medium">
        <color indexed="64"/>
      </bottom>
      <diagonal/>
    </border>
    <border>
      <left style="thin">
        <color indexed="8"/>
      </left>
      <right style="thin">
        <color indexed="8"/>
      </right>
      <top/>
      <bottom style="thin">
        <color indexed="8"/>
      </bottom>
      <diagonal/>
    </border>
    <border>
      <left/>
      <right/>
      <top style="medium">
        <color indexed="64"/>
      </top>
      <bottom style="thin">
        <color indexed="64"/>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style="thin">
        <color rgb="FFEBEBEB"/>
      </left>
      <right style="medium">
        <color indexed="64"/>
      </right>
      <top/>
      <bottom/>
      <diagonal/>
    </border>
    <border>
      <left style="medium">
        <color indexed="64"/>
      </left>
      <right style="medium">
        <color indexed="64"/>
      </right>
      <top/>
      <bottom style="thin">
        <color rgb="FFEBEBEB"/>
      </bottom>
      <diagonal/>
    </border>
  </borders>
  <cellStyleXfs count="9">
    <xf numFmtId="0" fontId="0" fillId="0" borderId="0"/>
    <xf numFmtId="9" fontId="6" fillId="0" borderId="0" applyFont="0" applyFill="0" applyBorder="0" applyAlignment="0" applyProtection="0"/>
    <xf numFmtId="165" fontId="6" fillId="0" borderId="0" applyFont="0" applyFill="0" applyBorder="0" applyAlignment="0" applyProtection="0"/>
    <xf numFmtId="0" fontId="27" fillId="0" borderId="0" applyNumberFormat="0" applyFill="0" applyBorder="0" applyAlignment="0" applyProtection="0">
      <alignment vertical="top"/>
      <protection locked="0"/>
    </xf>
    <xf numFmtId="0" fontId="44" fillId="0" borderId="0"/>
    <xf numFmtId="0" fontId="74" fillId="0" borderId="0"/>
    <xf numFmtId="43" fontId="6" fillId="0" borderId="0" applyFont="0" applyFill="0" applyBorder="0" applyAlignment="0" applyProtection="0"/>
    <xf numFmtId="0" fontId="6" fillId="0" borderId="0"/>
    <xf numFmtId="0" fontId="97" fillId="0" borderId="0" applyNumberFormat="0" applyFill="0" applyBorder="0" applyAlignment="0" applyProtection="0"/>
  </cellStyleXfs>
  <cellXfs count="911">
    <xf numFmtId="0" fontId="0" fillId="0" borderId="0" xfId="0"/>
    <xf numFmtId="0" fontId="1" fillId="0" borderId="0" xfId="0" applyFont="1"/>
    <xf numFmtId="0" fontId="2" fillId="0" borderId="0" xfId="0" applyFont="1"/>
    <xf numFmtId="0" fontId="3" fillId="0" borderId="1" xfId="0" applyFont="1" applyBorder="1" applyAlignment="1">
      <alignment horizontal="center"/>
    </xf>
    <xf numFmtId="0" fontId="4" fillId="0" borderId="1" xfId="0" applyFont="1" applyBorder="1" applyAlignment="1">
      <alignment horizontal="center"/>
    </xf>
    <xf numFmtId="0" fontId="5" fillId="2" borderId="1" xfId="0" applyFont="1" applyFill="1" applyBorder="1" applyAlignment="1">
      <alignment horizontal="left" indent="1"/>
    </xf>
    <xf numFmtId="0" fontId="3" fillId="0" borderId="1" xfId="0" applyFont="1" applyBorder="1"/>
    <xf numFmtId="0" fontId="5" fillId="2" borderId="1" xfId="0" applyFont="1" applyFill="1" applyBorder="1"/>
    <xf numFmtId="0" fontId="1" fillId="0" borderId="0" xfId="0" applyFont="1" applyAlignment="1">
      <alignment horizontal="left"/>
    </xf>
    <xf numFmtId="0" fontId="7" fillId="0" borderId="1" xfId="0" applyFont="1" applyBorder="1" applyAlignment="1">
      <alignment horizontal="center"/>
    </xf>
    <xf numFmtId="0" fontId="8" fillId="0" borderId="1" xfId="0" applyFont="1" applyBorder="1"/>
    <xf numFmtId="0" fontId="7" fillId="0" borderId="1" xfId="0" applyFont="1" applyBorder="1"/>
    <xf numFmtId="0" fontId="10" fillId="0" borderId="0" xfId="0" applyFont="1"/>
    <xf numFmtId="0" fontId="10" fillId="0" borderId="11" xfId="0" applyFont="1" applyBorder="1" applyAlignment="1">
      <alignment horizontal="center" wrapText="1"/>
    </xf>
    <xf numFmtId="0" fontId="10" fillId="0" borderId="8"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xf>
    <xf numFmtId="167" fontId="10" fillId="0" borderId="8" xfId="0" applyNumberFormat="1" applyFont="1" applyBorder="1" applyAlignment="1">
      <alignment horizontal="center" wrapText="1"/>
    </xf>
    <xf numFmtId="167" fontId="10" fillId="0" borderId="8" xfId="0" applyNumberFormat="1" applyFont="1" applyBorder="1" applyAlignment="1">
      <alignment horizontal="center"/>
    </xf>
    <xf numFmtId="0" fontId="10" fillId="0" borderId="7" xfId="0" applyFont="1" applyBorder="1" applyAlignment="1">
      <alignment horizontal="center" vertical="top" wrapText="1"/>
    </xf>
    <xf numFmtId="0" fontId="10" fillId="0" borderId="9" xfId="0" applyFont="1" applyBorder="1" applyAlignment="1">
      <alignment horizontal="center" vertical="top"/>
    </xf>
    <xf numFmtId="0" fontId="10" fillId="0" borderId="9" xfId="0" applyFont="1" applyBorder="1" applyAlignment="1">
      <alignment horizontal="center" vertical="top" wrapText="1"/>
    </xf>
    <xf numFmtId="0" fontId="10" fillId="0" borderId="7" xfId="0" applyFont="1" applyBorder="1" applyAlignment="1">
      <alignment horizontal="center" vertical="top"/>
    </xf>
    <xf numFmtId="167" fontId="10" fillId="0" borderId="0" xfId="0" applyNumberFormat="1" applyFont="1" applyAlignment="1">
      <alignment horizontal="center" wrapText="1"/>
    </xf>
    <xf numFmtId="167" fontId="10" fillId="0" borderId="0" xfId="0" applyNumberFormat="1" applyFont="1" applyAlignment="1">
      <alignment horizontal="center"/>
    </xf>
    <xf numFmtId="0" fontId="16" fillId="0" borderId="11" xfId="0" applyFont="1" applyBorder="1"/>
    <xf numFmtId="0" fontId="16" fillId="0" borderId="10" xfId="0" applyFont="1" applyBorder="1"/>
    <xf numFmtId="0" fontId="10" fillId="0" borderId="12" xfId="0" applyFont="1" applyBorder="1" applyAlignment="1">
      <alignment horizontal="center" vertical="top"/>
    </xf>
    <xf numFmtId="0" fontId="10" fillId="0" borderId="10" xfId="0" applyFont="1" applyBorder="1" applyAlignment="1">
      <alignment horizontal="center" vertical="top"/>
    </xf>
    <xf numFmtId="166" fontId="10" fillId="0" borderId="8" xfId="0" applyNumberFormat="1" applyFont="1" applyBorder="1" applyAlignment="1">
      <alignment horizontal="center"/>
    </xf>
    <xf numFmtId="166" fontId="10" fillId="0" borderId="13" xfId="0" applyNumberFormat="1" applyFont="1" applyBorder="1" applyAlignment="1">
      <alignment horizontal="center"/>
    </xf>
    <xf numFmtId="166" fontId="10" fillId="0" borderId="10" xfId="0" applyNumberFormat="1" applyFont="1" applyBorder="1" applyAlignment="1">
      <alignment horizontal="center"/>
    </xf>
    <xf numFmtId="166" fontId="10" fillId="0" borderId="11" xfId="0" applyNumberFormat="1" applyFont="1" applyBorder="1" applyAlignment="1">
      <alignment horizontal="center"/>
    </xf>
    <xf numFmtId="166" fontId="10" fillId="0" borderId="0" xfId="0" applyNumberFormat="1" applyFont="1" applyAlignment="1">
      <alignment horizontal="center"/>
    </xf>
    <xf numFmtId="166" fontId="10" fillId="0" borderId="0" xfId="0" applyNumberFormat="1" applyFont="1" applyAlignment="1">
      <alignment horizontal="center" wrapText="1"/>
    </xf>
    <xf numFmtId="0" fontId="10" fillId="0" borderId="10" xfId="0" applyFont="1" applyBorder="1" applyAlignment="1">
      <alignment horizontal="center" wrapText="1"/>
    </xf>
    <xf numFmtId="166" fontId="10" fillId="0" borderId="8" xfId="0" applyNumberFormat="1" applyFont="1" applyBorder="1" applyAlignment="1">
      <alignment horizontal="center" wrapText="1"/>
    </xf>
    <xf numFmtId="166" fontId="10" fillId="0" borderId="13" xfId="0" applyNumberFormat="1" applyFont="1" applyBorder="1" applyAlignment="1">
      <alignment horizontal="center" wrapText="1"/>
    </xf>
    <xf numFmtId="166" fontId="10" fillId="0" borderId="17" xfId="0" applyNumberFormat="1" applyFont="1" applyBorder="1" applyAlignment="1">
      <alignment horizontal="center" wrapText="1"/>
    </xf>
    <xf numFmtId="166" fontId="10" fillId="0" borderId="10" xfId="0" applyNumberFormat="1" applyFont="1" applyBorder="1" applyAlignment="1">
      <alignment horizontal="center" wrapText="1"/>
    </xf>
    <xf numFmtId="0" fontId="10" fillId="0" borderId="0" xfId="0" applyFont="1" applyAlignment="1">
      <alignment horizontal="center"/>
    </xf>
    <xf numFmtId="0" fontId="10" fillId="0" borderId="0" xfId="0" applyFont="1" applyAlignment="1">
      <alignment horizontal="center" wrapText="1"/>
    </xf>
    <xf numFmtId="0" fontId="9" fillId="0" borderId="0" xfId="0" applyFont="1"/>
    <xf numFmtId="0" fontId="19" fillId="0" borderId="1" xfId="0" applyFont="1" applyBorder="1" applyAlignment="1">
      <alignment horizontal="left"/>
    </xf>
    <xf numFmtId="0" fontId="21" fillId="0" borderId="0" xfId="0" applyFont="1"/>
    <xf numFmtId="0" fontId="13" fillId="0" borderId="0" xfId="0" applyFont="1"/>
    <xf numFmtId="0" fontId="19" fillId="0" borderId="1" xfId="0" applyFont="1" applyBorder="1"/>
    <xf numFmtId="0" fontId="28" fillId="0" borderId="0" xfId="3" applyFont="1" applyAlignment="1" applyProtection="1"/>
    <xf numFmtId="0" fontId="29" fillId="0" borderId="1" xfId="0" applyFont="1" applyBorder="1"/>
    <xf numFmtId="172" fontId="0" fillId="0" borderId="1" xfId="2" applyNumberFormat="1" applyFont="1" applyBorder="1"/>
    <xf numFmtId="0" fontId="30" fillId="3" borderId="1" xfId="0" applyFont="1" applyFill="1" applyBorder="1"/>
    <xf numFmtId="172" fontId="7" fillId="3" borderId="1" xfId="2" applyNumberFormat="1" applyFont="1" applyFill="1" applyBorder="1"/>
    <xf numFmtId="0" fontId="30" fillId="3" borderId="1" xfId="0" applyFont="1" applyFill="1" applyBorder="1" applyAlignment="1">
      <alignment wrapText="1"/>
    </xf>
    <xf numFmtId="172" fontId="7" fillId="3" borderId="1" xfId="2" applyNumberFormat="1" applyFont="1" applyFill="1" applyBorder="1" applyAlignment="1">
      <alignment vertical="center"/>
    </xf>
    <xf numFmtId="173" fontId="0" fillId="0" borderId="0" xfId="1" applyNumberFormat="1" applyFont="1"/>
    <xf numFmtId="0" fontId="29" fillId="0" borderId="2" xfId="0" applyFont="1" applyBorder="1"/>
    <xf numFmtId="172" fontId="0" fillId="0" borderId="3" xfId="2" applyNumberFormat="1" applyFont="1" applyBorder="1"/>
    <xf numFmtId="172" fontId="0" fillId="0" borderId="4" xfId="2" applyNumberFormat="1" applyFont="1" applyBorder="1"/>
    <xf numFmtId="0" fontId="30" fillId="3" borderId="5" xfId="0" applyFont="1" applyFill="1" applyBorder="1"/>
    <xf numFmtId="0" fontId="31" fillId="0" borderId="0" xfId="0" applyFont="1"/>
    <xf numFmtId="0" fontId="29" fillId="0" borderId="1" xfId="0" applyFont="1" applyBorder="1" applyAlignment="1">
      <alignment horizontal="center"/>
    </xf>
    <xf numFmtId="0" fontId="3" fillId="0" borderId="2" xfId="0" applyFont="1" applyBorder="1" applyAlignment="1">
      <alignment horizontal="centerContinuous"/>
    </xf>
    <xf numFmtId="0" fontId="3" fillId="0" borderId="3" xfId="0" applyFont="1" applyBorder="1" applyAlignment="1">
      <alignment horizontal="centerContinuous"/>
    </xf>
    <xf numFmtId="0" fontId="3" fillId="0" borderId="4" xfId="0" applyFont="1" applyBorder="1" applyAlignment="1">
      <alignment horizontal="centerContinuous"/>
    </xf>
    <xf numFmtId="165" fontId="10" fillId="0" borderId="0" xfId="2" applyFont="1"/>
    <xf numFmtId="0" fontId="19" fillId="0" borderId="1" xfId="0" applyFont="1" applyBorder="1" applyAlignment="1">
      <alignment horizontal="center"/>
    </xf>
    <xf numFmtId="0" fontId="33" fillId="0" borderId="0" xfId="0" applyFont="1"/>
    <xf numFmtId="0" fontId="5" fillId="0" borderId="1" xfId="0" applyFont="1" applyBorder="1"/>
    <xf numFmtId="0" fontId="35" fillId="0" borderId="0" xfId="0" applyFont="1"/>
    <xf numFmtId="0" fontId="36" fillId="0" borderId="0" xfId="0" applyFont="1"/>
    <xf numFmtId="0" fontId="24" fillId="0" borderId="1" xfId="0" applyFont="1" applyBorder="1"/>
    <xf numFmtId="0" fontId="24" fillId="0" borderId="1" xfId="0" applyFont="1" applyBorder="1" applyAlignment="1">
      <alignment horizontal="center"/>
    </xf>
    <xf numFmtId="0" fontId="19" fillId="0" borderId="2" xfId="0" applyFont="1" applyBorder="1" applyAlignment="1">
      <alignment horizontal="centerContinuous"/>
    </xf>
    <xf numFmtId="0" fontId="19" fillId="0" borderId="3" xfId="0" applyFont="1" applyBorder="1" applyAlignment="1">
      <alignment horizontal="centerContinuous"/>
    </xf>
    <xf numFmtId="0" fontId="19" fillId="0" borderId="4" xfId="0" applyFont="1" applyBorder="1" applyAlignment="1">
      <alignment horizontal="centerContinuous"/>
    </xf>
    <xf numFmtId="0" fontId="36" fillId="0" borderId="2" xfId="0" applyFont="1" applyBorder="1" applyAlignment="1">
      <alignment horizontal="centerContinuous"/>
    </xf>
    <xf numFmtId="0" fontId="36" fillId="0" borderId="3" xfId="0" applyFont="1" applyBorder="1" applyAlignment="1">
      <alignment horizontal="centerContinuous"/>
    </xf>
    <xf numFmtId="0" fontId="10" fillId="0" borderId="1" xfId="0" applyFont="1" applyBorder="1" applyAlignment="1">
      <alignment horizontal="left"/>
    </xf>
    <xf numFmtId="0" fontId="12" fillId="0" borderId="1" xfId="0" applyFont="1" applyBorder="1" applyAlignment="1">
      <alignment horizontal="left"/>
    </xf>
    <xf numFmtId="0" fontId="13" fillId="0" borderId="0" xfId="0" applyFont="1" applyAlignment="1">
      <alignment horizontal="left"/>
    </xf>
    <xf numFmtId="170" fontId="21" fillId="0" borderId="1" xfId="0" applyNumberFormat="1" applyFont="1" applyBorder="1"/>
    <xf numFmtId="0" fontId="10" fillId="0" borderId="1" xfId="0" applyFont="1" applyBorder="1"/>
    <xf numFmtId="0" fontId="25" fillId="0" borderId="1" xfId="0" applyFont="1" applyBorder="1" applyAlignment="1">
      <alignment horizontal="left" indent="6"/>
    </xf>
    <xf numFmtId="0" fontId="21" fillId="0" borderId="1" xfId="0" applyFont="1" applyBorder="1" applyAlignment="1">
      <alignment horizontal="left"/>
    </xf>
    <xf numFmtId="0" fontId="19" fillId="0" borderId="6" xfId="2" applyNumberFormat="1" applyFont="1" applyBorder="1" applyAlignment="1">
      <alignment horizontal="center"/>
    </xf>
    <xf numFmtId="0" fontId="19" fillId="0" borderId="1" xfId="0" applyFont="1" applyBorder="1" applyAlignment="1">
      <alignment horizontal="centerContinuous"/>
    </xf>
    <xf numFmtId="0" fontId="19" fillId="0" borderId="3" xfId="2" applyNumberFormat="1" applyFont="1" applyBorder="1" applyAlignment="1">
      <alignment horizontal="centerContinuous"/>
    </xf>
    <xf numFmtId="0" fontId="19" fillId="0" borderId="4" xfId="2" applyNumberFormat="1" applyFont="1" applyBorder="1" applyAlignment="1">
      <alignment horizontal="centerContinuous"/>
    </xf>
    <xf numFmtId="165" fontId="0" fillId="0" borderId="0" xfId="2" applyFont="1"/>
    <xf numFmtId="0" fontId="10" fillId="0" borderId="9" xfId="0" applyFont="1" applyBorder="1" applyAlignment="1">
      <alignment horizontal="center" wrapText="1"/>
    </xf>
    <xf numFmtId="169" fontId="9" fillId="0" borderId="0" xfId="0" applyNumberFormat="1" applyFont="1"/>
    <xf numFmtId="166" fontId="9" fillId="0" borderId="0" xfId="0" applyNumberFormat="1" applyFont="1"/>
    <xf numFmtId="170" fontId="2" fillId="0" borderId="0" xfId="0" applyNumberFormat="1" applyFont="1"/>
    <xf numFmtId="175" fontId="2" fillId="0" borderId="0" xfId="0" applyNumberFormat="1" applyFont="1"/>
    <xf numFmtId="172" fontId="0" fillId="0" borderId="1" xfId="2" applyNumberFormat="1" applyFont="1" applyBorder="1" applyAlignment="1">
      <alignment horizontal="center" vertical="center"/>
    </xf>
    <xf numFmtId="173" fontId="2" fillId="0" borderId="0" xfId="1" applyNumberFormat="1" applyFont="1"/>
    <xf numFmtId="0" fontId="26" fillId="0" borderId="0" xfId="0" applyFont="1"/>
    <xf numFmtId="0" fontId="39" fillId="0" borderId="0" xfId="3" applyFont="1" applyAlignment="1" applyProtection="1">
      <alignment vertical="top"/>
    </xf>
    <xf numFmtId="174" fontId="10" fillId="0" borderId="0" xfId="0" applyNumberFormat="1" applyFont="1"/>
    <xf numFmtId="176" fontId="10" fillId="0" borderId="0" xfId="0" applyNumberFormat="1" applyFont="1"/>
    <xf numFmtId="165" fontId="9" fillId="0" borderId="0" xfId="2" applyFont="1"/>
    <xf numFmtId="177" fontId="9" fillId="0" borderId="0" xfId="2" applyNumberFormat="1" applyFont="1"/>
    <xf numFmtId="177" fontId="2" fillId="0" borderId="0" xfId="2" applyNumberFormat="1" applyFont="1"/>
    <xf numFmtId="178" fontId="2" fillId="0" borderId="0" xfId="0" applyNumberFormat="1" applyFont="1"/>
    <xf numFmtId="3" fontId="2" fillId="0" borderId="0" xfId="0" applyNumberFormat="1" applyFont="1"/>
    <xf numFmtId="170" fontId="19" fillId="0" borderId="1" xfId="0" applyNumberFormat="1" applyFont="1" applyBorder="1"/>
    <xf numFmtId="179" fontId="2" fillId="0" borderId="0" xfId="2" applyNumberFormat="1" applyFont="1"/>
    <xf numFmtId="179" fontId="2" fillId="0" borderId="0" xfId="0" applyNumberFormat="1" applyFont="1"/>
    <xf numFmtId="0" fontId="40" fillId="0" borderId="1" xfId="0" applyFont="1" applyBorder="1" applyAlignment="1">
      <alignment horizontal="center"/>
    </xf>
    <xf numFmtId="166" fontId="10" fillId="0" borderId="11" xfId="0" applyNumberFormat="1" applyFont="1" applyBorder="1" applyAlignment="1">
      <alignment horizontal="center" wrapText="1"/>
    </xf>
    <xf numFmtId="172" fontId="0" fillId="0" borderId="0" xfId="0" applyNumberFormat="1"/>
    <xf numFmtId="0" fontId="28" fillId="0" borderId="0" xfId="3" applyFont="1" applyAlignment="1" applyProtection="1">
      <alignment horizontal="left" vertical="top"/>
    </xf>
    <xf numFmtId="165" fontId="10" fillId="0" borderId="0" xfId="0" applyNumberFormat="1" applyFont="1"/>
    <xf numFmtId="166" fontId="10" fillId="0" borderId="15" xfId="0" applyNumberFormat="1" applyFont="1" applyBorder="1" applyAlignment="1">
      <alignment horizontal="center"/>
    </xf>
    <xf numFmtId="166" fontId="10" fillId="0" borderId="15" xfId="0" applyNumberFormat="1" applyFont="1" applyBorder="1" applyAlignment="1">
      <alignment horizontal="center" wrapText="1"/>
    </xf>
    <xf numFmtId="166" fontId="10" fillId="0" borderId="9" xfId="0" applyNumberFormat="1" applyFont="1" applyBorder="1" applyAlignment="1">
      <alignment horizontal="center"/>
    </xf>
    <xf numFmtId="166" fontId="10" fillId="0" borderId="0" xfId="0" applyNumberFormat="1" applyFont="1" applyAlignment="1">
      <alignment horizontal="center" vertical="center"/>
    </xf>
    <xf numFmtId="166" fontId="10" fillId="0" borderId="8" xfId="0" applyNumberFormat="1" applyFont="1" applyBorder="1" applyAlignment="1">
      <alignment horizontal="center" vertical="center"/>
    </xf>
    <xf numFmtId="166" fontId="9" fillId="0" borderId="0" xfId="1" applyNumberFormat="1" applyFont="1"/>
    <xf numFmtId="9" fontId="35" fillId="0" borderId="0" xfId="1" applyFont="1"/>
    <xf numFmtId="0" fontId="42" fillId="0" borderId="1" xfId="0" applyFont="1" applyBorder="1" applyAlignment="1">
      <alignment horizontal="left" indent="3"/>
    </xf>
    <xf numFmtId="0" fontId="5" fillId="0" borderId="0" xfId="0" applyFont="1"/>
    <xf numFmtId="173" fontId="5" fillId="0" borderId="0" xfId="1" applyNumberFormat="1" applyFont="1"/>
    <xf numFmtId="174" fontId="0" fillId="0" borderId="0" xfId="0" applyNumberFormat="1"/>
    <xf numFmtId="177" fontId="5" fillId="0" borderId="0" xfId="2" applyNumberFormat="1" applyFont="1"/>
    <xf numFmtId="175" fontId="5" fillId="0" borderId="0" xfId="0" applyNumberFormat="1" applyFont="1"/>
    <xf numFmtId="172" fontId="41" fillId="0" borderId="4" xfId="2" applyNumberFormat="1" applyFont="1" applyBorder="1" applyAlignment="1">
      <alignment vertical="center"/>
    </xf>
    <xf numFmtId="0" fontId="10" fillId="0" borderId="12" xfId="0" applyFont="1" applyBorder="1" applyAlignment="1">
      <alignment horizontal="center"/>
    </xf>
    <xf numFmtId="43" fontId="2" fillId="0" borderId="0" xfId="0" applyNumberFormat="1" applyFont="1"/>
    <xf numFmtId="172" fontId="2" fillId="0" borderId="0" xfId="0" applyNumberFormat="1" applyFont="1"/>
    <xf numFmtId="180" fontId="2" fillId="0" borderId="0" xfId="0" applyNumberFormat="1" applyFont="1"/>
    <xf numFmtId="171" fontId="0" fillId="0" borderId="0" xfId="0" applyNumberFormat="1"/>
    <xf numFmtId="171" fontId="3" fillId="0" borderId="1" xfId="0" applyNumberFormat="1" applyFont="1" applyBorder="1"/>
    <xf numFmtId="0" fontId="3" fillId="0" borderId="6" xfId="0" applyFont="1" applyBorder="1" applyAlignment="1">
      <alignment horizontal="center"/>
    </xf>
    <xf numFmtId="0" fontId="4" fillId="0" borderId="6" xfId="0" applyFont="1" applyBorder="1" applyAlignment="1">
      <alignment horizontal="center"/>
    </xf>
    <xf numFmtId="0" fontId="43" fillId="0" borderId="3" xfId="0" applyFont="1" applyBorder="1" applyAlignment="1">
      <alignment horizontal="centerContinuous"/>
    </xf>
    <xf numFmtId="171" fontId="7" fillId="0" borderId="1" xfId="0" applyNumberFormat="1" applyFont="1" applyBorder="1"/>
    <xf numFmtId="3" fontId="8" fillId="0" borderId="0" xfId="0" applyNumberFormat="1" applyFont="1"/>
    <xf numFmtId="165" fontId="5" fillId="0" borderId="1" xfId="2" applyFont="1" applyBorder="1"/>
    <xf numFmtId="165" fontId="42" fillId="0" borderId="1" xfId="2" applyFont="1" applyBorder="1"/>
    <xf numFmtId="165" fontId="3" fillId="0" borderId="1" xfId="2" applyFont="1" applyBorder="1"/>
    <xf numFmtId="1" fontId="2" fillId="0" borderId="0" xfId="0" applyNumberFormat="1" applyFont="1"/>
    <xf numFmtId="2" fontId="0" fillId="0" borderId="0" xfId="0" applyNumberFormat="1"/>
    <xf numFmtId="49" fontId="30" fillId="0" borderId="19" xfId="4" applyNumberFormat="1" applyFont="1" applyBorder="1" applyAlignment="1">
      <alignment horizontal="left"/>
    </xf>
    <xf numFmtId="0" fontId="30" fillId="0" borderId="20" xfId="4" applyFont="1" applyBorder="1" applyAlignment="1">
      <alignment horizontal="left"/>
    </xf>
    <xf numFmtId="0" fontId="30" fillId="0" borderId="21" xfId="4" applyFont="1" applyBorder="1" applyAlignment="1">
      <alignment horizontal="left"/>
    </xf>
    <xf numFmtId="0" fontId="30" fillId="0" borderId="22" xfId="4" applyFont="1" applyBorder="1" applyAlignment="1">
      <alignment horizontal="left"/>
    </xf>
    <xf numFmtId="49" fontId="29" fillId="0" borderId="23" xfId="4" applyNumberFormat="1" applyFont="1" applyBorder="1" applyAlignment="1">
      <alignment horizontal="left"/>
    </xf>
    <xf numFmtId="49" fontId="29" fillId="0" borderId="24" xfId="4" applyNumberFormat="1" applyFont="1" applyBorder="1" applyAlignment="1">
      <alignment horizontal="left"/>
    </xf>
    <xf numFmtId="49" fontId="45" fillId="0" borderId="24" xfId="4" applyNumberFormat="1" applyFont="1" applyBorder="1" applyAlignment="1">
      <alignment horizontal="left"/>
    </xf>
    <xf numFmtId="49" fontId="45" fillId="0" borderId="25" xfId="4" applyNumberFormat="1" applyFont="1" applyBorder="1" applyAlignment="1">
      <alignment horizontal="left"/>
    </xf>
    <xf numFmtId="49" fontId="29" fillId="0" borderId="25" xfId="4" applyNumberFormat="1" applyFont="1" applyBorder="1" applyAlignment="1">
      <alignment horizontal="left"/>
    </xf>
    <xf numFmtId="49" fontId="45" fillId="0" borderId="26" xfId="4" applyNumberFormat="1" applyFont="1" applyBorder="1" applyAlignment="1">
      <alignment horizontal="left"/>
    </xf>
    <xf numFmtId="49" fontId="29" fillId="0" borderId="8" xfId="4" applyNumberFormat="1" applyFont="1" applyBorder="1" applyAlignment="1">
      <alignment horizontal="left"/>
    </xf>
    <xf numFmtId="49" fontId="29" fillId="0" borderId="27" xfId="4" applyNumberFormat="1" applyFont="1" applyBorder="1" applyAlignment="1">
      <alignment horizontal="left"/>
    </xf>
    <xf numFmtId="49" fontId="45" fillId="0" borderId="28" xfId="4" applyNumberFormat="1" applyFont="1" applyBorder="1" applyAlignment="1">
      <alignment horizontal="left"/>
    </xf>
    <xf numFmtId="49" fontId="45" fillId="0" borderId="27" xfId="4" applyNumberFormat="1" applyFont="1" applyBorder="1" applyAlignment="1">
      <alignment horizontal="left"/>
    </xf>
    <xf numFmtId="0" fontId="0" fillId="0" borderId="13" xfId="0" applyBorder="1"/>
    <xf numFmtId="49" fontId="30" fillId="0" borderId="12" xfId="4" applyNumberFormat="1" applyFont="1" applyBorder="1" applyAlignment="1">
      <alignment horizontal="left"/>
    </xf>
    <xf numFmtId="0" fontId="30" fillId="0" borderId="13" xfId="4" applyFont="1" applyBorder="1" applyAlignment="1">
      <alignment horizontal="left"/>
    </xf>
    <xf numFmtId="49" fontId="30" fillId="0" borderId="13" xfId="4" applyNumberFormat="1" applyFont="1" applyBorder="1" applyAlignment="1">
      <alignment horizontal="left"/>
    </xf>
    <xf numFmtId="0" fontId="30" fillId="0" borderId="17" xfId="4" applyFont="1" applyBorder="1" applyAlignment="1">
      <alignment horizontal="left"/>
    </xf>
    <xf numFmtId="0" fontId="10" fillId="0" borderId="12" xfId="0" applyFont="1" applyBorder="1" applyAlignment="1">
      <alignment horizontal="center" wrapText="1"/>
    </xf>
    <xf numFmtId="167" fontId="10" fillId="0" borderId="13" xfId="0" applyNumberFormat="1" applyFont="1" applyBorder="1" applyAlignment="1">
      <alignment horizontal="center" wrapText="1"/>
    </xf>
    <xf numFmtId="165" fontId="9" fillId="0" borderId="0" xfId="0" applyNumberFormat="1" applyFont="1"/>
    <xf numFmtId="0" fontId="24" fillId="0" borderId="1" xfId="0" applyFont="1" applyBorder="1" applyAlignment="1">
      <alignment horizontal="left" indent="4"/>
    </xf>
    <xf numFmtId="0" fontId="46" fillId="0" borderId="1" xfId="0" applyFont="1" applyBorder="1" applyAlignment="1">
      <alignment horizontal="center"/>
    </xf>
    <xf numFmtId="0" fontId="46" fillId="0" borderId="1" xfId="0" applyFont="1" applyBorder="1" applyAlignment="1">
      <alignment horizontal="center" vertical="center"/>
    </xf>
    <xf numFmtId="179" fontId="46" fillId="0" borderId="1" xfId="2" applyNumberFormat="1" applyFont="1" applyBorder="1" applyAlignment="1">
      <alignment horizontal="right"/>
    </xf>
    <xf numFmtId="0" fontId="47" fillId="0" borderId="1" xfId="0" applyFont="1" applyBorder="1" applyAlignment="1">
      <alignment horizontal="left"/>
    </xf>
    <xf numFmtId="0" fontId="47" fillId="0" borderId="1" xfId="0" applyFont="1" applyBorder="1" applyAlignment="1">
      <alignment horizontal="center" vertical="center"/>
    </xf>
    <xf numFmtId="179" fontId="47" fillId="0" borderId="1" xfId="2" applyNumberFormat="1" applyFont="1" applyBorder="1" applyAlignment="1">
      <alignment horizontal="right"/>
    </xf>
    <xf numFmtId="179" fontId="47" fillId="0" borderId="1" xfId="2" applyNumberFormat="1" applyFont="1" applyBorder="1" applyAlignment="1">
      <alignment horizontal="left"/>
    </xf>
    <xf numFmtId="171" fontId="5" fillId="0" borderId="1" xfId="0" applyNumberFormat="1" applyFont="1" applyBorder="1"/>
    <xf numFmtId="171" fontId="5" fillId="0" borderId="5" xfId="0" applyNumberFormat="1" applyFont="1" applyBorder="1"/>
    <xf numFmtId="175" fontId="0" fillId="0" borderId="0" xfId="0" applyNumberFormat="1"/>
    <xf numFmtId="171" fontId="48" fillId="4" borderId="1" xfId="0" applyNumberFormat="1" applyFont="1" applyFill="1" applyBorder="1"/>
    <xf numFmtId="0" fontId="10" fillId="0" borderId="0" xfId="0" applyFont="1" applyAlignment="1">
      <alignment horizontal="centerContinuous"/>
    </xf>
    <xf numFmtId="175" fontId="10" fillId="0" borderId="1" xfId="0" applyNumberFormat="1" applyFont="1" applyBorder="1"/>
    <xf numFmtId="175" fontId="10" fillId="0" borderId="1" xfId="0" applyNumberFormat="1" applyFont="1" applyBorder="1" applyAlignment="1">
      <alignment horizontal="center" vertical="center"/>
    </xf>
    <xf numFmtId="175" fontId="10" fillId="0" borderId="0" xfId="0" applyNumberFormat="1" applyFont="1"/>
    <xf numFmtId="175" fontId="12" fillId="0" borderId="1" xfId="0" applyNumberFormat="1" applyFont="1" applyBorder="1"/>
    <xf numFmtId="175" fontId="12" fillId="0" borderId="1" xfId="0" applyNumberFormat="1" applyFont="1" applyBorder="1" applyAlignment="1">
      <alignment horizontal="center" vertical="center"/>
    </xf>
    <xf numFmtId="179" fontId="35" fillId="0" borderId="5" xfId="2" applyNumberFormat="1" applyFont="1" applyBorder="1"/>
    <xf numFmtId="179" fontId="36" fillId="0" borderId="5" xfId="2" applyNumberFormat="1" applyFont="1" applyBorder="1"/>
    <xf numFmtId="171" fontId="7" fillId="0" borderId="5" xfId="0" applyNumberFormat="1" applyFont="1" applyBorder="1"/>
    <xf numFmtId="171" fontId="8" fillId="0" borderId="1" xfId="0" applyNumberFormat="1" applyFont="1" applyBorder="1"/>
    <xf numFmtId="171" fontId="8" fillId="0" borderId="5" xfId="0" applyNumberFormat="1" applyFont="1" applyBorder="1"/>
    <xf numFmtId="179" fontId="5" fillId="0" borderId="1" xfId="2" applyNumberFormat="1" applyFont="1" applyFill="1" applyBorder="1"/>
    <xf numFmtId="179" fontId="5" fillId="0" borderId="1" xfId="2" applyNumberFormat="1" applyFont="1" applyBorder="1"/>
    <xf numFmtId="179" fontId="42" fillId="0" borderId="1" xfId="2" applyNumberFormat="1" applyFont="1" applyFill="1" applyBorder="1"/>
    <xf numFmtId="179" fontId="42" fillId="0" borderId="1" xfId="2" applyNumberFormat="1" applyFont="1" applyBorder="1"/>
    <xf numFmtId="179" fontId="3" fillId="0" borderId="1" xfId="2" applyNumberFormat="1" applyFont="1" applyBorder="1"/>
    <xf numFmtId="0" fontId="0" fillId="5" borderId="0" xfId="0" applyFill="1"/>
    <xf numFmtId="174" fontId="0" fillId="5" borderId="0" xfId="2" applyNumberFormat="1" applyFont="1" applyFill="1"/>
    <xf numFmtId="174" fontId="0" fillId="0" borderId="0" xfId="2" applyNumberFormat="1" applyFont="1"/>
    <xf numFmtId="43" fontId="0" fillId="0" borderId="0" xfId="0" applyNumberFormat="1"/>
    <xf numFmtId="181" fontId="0" fillId="0" borderId="0" xfId="0" applyNumberFormat="1"/>
    <xf numFmtId="1" fontId="0" fillId="0" borderId="0" xfId="0" applyNumberFormat="1"/>
    <xf numFmtId="166" fontId="0" fillId="0" borderId="0" xfId="0" applyNumberFormat="1"/>
    <xf numFmtId="180" fontId="0" fillId="0" borderId="0" xfId="0" applyNumberFormat="1"/>
    <xf numFmtId="179" fontId="0" fillId="0" borderId="0" xfId="0" applyNumberFormat="1"/>
    <xf numFmtId="167" fontId="7" fillId="0" borderId="18" xfId="0" applyNumberFormat="1" applyFont="1" applyBorder="1"/>
    <xf numFmtId="167" fontId="7" fillId="0" borderId="0" xfId="0" applyNumberFormat="1" applyFont="1"/>
    <xf numFmtId="0" fontId="46" fillId="0" borderId="18" xfId="0" applyFont="1" applyBorder="1" applyAlignment="1">
      <alignment horizontal="center"/>
    </xf>
    <xf numFmtId="183" fontId="0" fillId="0" borderId="0" xfId="0" applyNumberFormat="1"/>
    <xf numFmtId="169" fontId="0" fillId="0" borderId="0" xfId="2" applyNumberFormat="1" applyFont="1"/>
    <xf numFmtId="175" fontId="33" fillId="0" borderId="0" xfId="0" applyNumberFormat="1" applyFont="1"/>
    <xf numFmtId="0" fontId="33" fillId="0" borderId="0" xfId="0" applyFont="1" applyAlignment="1">
      <alignment horizontal="center"/>
    </xf>
    <xf numFmtId="179" fontId="0" fillId="0" borderId="0" xfId="2" applyNumberFormat="1" applyFont="1"/>
    <xf numFmtId="174" fontId="33" fillId="0" borderId="0" xfId="2" applyNumberFormat="1" applyFont="1"/>
    <xf numFmtId="43" fontId="7" fillId="0" borderId="0" xfId="2" applyNumberFormat="1" applyFont="1" applyAlignment="1">
      <alignment horizontal="centerContinuous"/>
    </xf>
    <xf numFmtId="172" fontId="8" fillId="0" borderId="0" xfId="2" applyNumberFormat="1" applyFont="1"/>
    <xf numFmtId="175" fontId="8" fillId="0" borderId="0" xfId="0" applyNumberFormat="1" applyFont="1"/>
    <xf numFmtId="0" fontId="8" fillId="0" borderId="0" xfId="0" applyFont="1"/>
    <xf numFmtId="0" fontId="8" fillId="6" borderId="0" xfId="0" applyFont="1" applyFill="1"/>
    <xf numFmtId="0" fontId="8" fillId="5" borderId="0" xfId="0" applyFont="1" applyFill="1"/>
    <xf numFmtId="4" fontId="8" fillId="0" borderId="0" xfId="0" applyNumberFormat="1" applyFont="1"/>
    <xf numFmtId="165" fontId="33" fillId="0" borderId="0" xfId="2" applyFont="1"/>
    <xf numFmtId="0" fontId="33" fillId="5" borderId="0" xfId="0" applyFont="1" applyFill="1" applyAlignment="1">
      <alignment horizontal="center"/>
    </xf>
    <xf numFmtId="174" fontId="33" fillId="5" borderId="0" xfId="2" applyNumberFormat="1" applyFont="1" applyFill="1"/>
    <xf numFmtId="0" fontId="7" fillId="0" borderId="0" xfId="0" applyFont="1"/>
    <xf numFmtId="165" fontId="33" fillId="5" borderId="0" xfId="2" applyFont="1" applyFill="1"/>
    <xf numFmtId="169" fontId="33" fillId="5" borderId="0" xfId="2" applyNumberFormat="1" applyFont="1" applyFill="1"/>
    <xf numFmtId="169" fontId="0" fillId="5" borderId="0" xfId="2" applyNumberFormat="1" applyFont="1" applyFill="1"/>
    <xf numFmtId="177" fontId="0" fillId="0" borderId="0" xfId="2" applyNumberFormat="1" applyFont="1"/>
    <xf numFmtId="184" fontId="0" fillId="0" borderId="0" xfId="2" applyNumberFormat="1" applyFont="1"/>
    <xf numFmtId="177" fontId="33" fillId="0" borderId="0" xfId="2" applyNumberFormat="1" applyFont="1"/>
    <xf numFmtId="174" fontId="6" fillId="5" borderId="0" xfId="2" applyNumberFormat="1" applyFont="1" applyFill="1"/>
    <xf numFmtId="175" fontId="8" fillId="0" borderId="0" xfId="2" applyNumberFormat="1" applyFont="1" applyFill="1"/>
    <xf numFmtId="165" fontId="8" fillId="0" borderId="0" xfId="2" applyFont="1"/>
    <xf numFmtId="0" fontId="7" fillId="4" borderId="0" xfId="0" applyFont="1" applyFill="1"/>
    <xf numFmtId="169" fontId="0" fillId="0" borderId="0" xfId="0" applyNumberFormat="1"/>
    <xf numFmtId="2" fontId="8" fillId="0" borderId="0" xfId="0" applyNumberFormat="1" applyFont="1"/>
    <xf numFmtId="166" fontId="33" fillId="0" borderId="0" xfId="0" applyNumberFormat="1" applyFont="1"/>
    <xf numFmtId="1" fontId="8" fillId="0" borderId="0" xfId="0" applyNumberFormat="1" applyFont="1"/>
    <xf numFmtId="1" fontId="7" fillId="7" borderId="0" xfId="0" applyNumberFormat="1" applyFont="1" applyFill="1"/>
    <xf numFmtId="0" fontId="8" fillId="0" borderId="0" xfId="0" applyFont="1" applyAlignment="1">
      <alignment horizontal="right"/>
    </xf>
    <xf numFmtId="1" fontId="7" fillId="0" borderId="0" xfId="0" applyNumberFormat="1" applyFont="1"/>
    <xf numFmtId="165" fontId="8" fillId="0" borderId="0" xfId="2" applyFont="1" applyFill="1"/>
    <xf numFmtId="165" fontId="0" fillId="0" borderId="0" xfId="2" applyFont="1" applyFill="1"/>
    <xf numFmtId="175" fontId="7" fillId="8" borderId="0" xfId="0" applyNumberFormat="1" applyFont="1" applyFill="1"/>
    <xf numFmtId="43" fontId="0" fillId="8" borderId="0" xfId="0" applyNumberFormat="1" applyFill="1"/>
    <xf numFmtId="43" fontId="41" fillId="0" borderId="0" xfId="0" applyNumberFormat="1" applyFont="1"/>
    <xf numFmtId="165" fontId="41" fillId="0" borderId="0" xfId="0" applyNumberFormat="1" applyFont="1"/>
    <xf numFmtId="166" fontId="33" fillId="8" borderId="0" xfId="0" applyNumberFormat="1" applyFont="1" applyFill="1"/>
    <xf numFmtId="165" fontId="0" fillId="8" borderId="0" xfId="0" applyNumberFormat="1" applyFill="1"/>
    <xf numFmtId="175" fontId="33" fillId="8" borderId="0" xfId="0" applyNumberFormat="1" applyFont="1" applyFill="1"/>
    <xf numFmtId="165" fontId="33" fillId="8" borderId="0" xfId="2" applyFont="1" applyFill="1"/>
    <xf numFmtId="175" fontId="7" fillId="0" borderId="0" xfId="0" applyNumberFormat="1" applyFont="1"/>
    <xf numFmtId="185" fontId="0" fillId="0" borderId="0" xfId="0" applyNumberFormat="1"/>
    <xf numFmtId="186" fontId="0" fillId="0" borderId="0" xfId="0" applyNumberFormat="1"/>
    <xf numFmtId="184" fontId="33" fillId="0" borderId="0" xfId="2" applyNumberFormat="1" applyFont="1"/>
    <xf numFmtId="0" fontId="33" fillId="8" borderId="0" xfId="0" applyFont="1" applyFill="1"/>
    <xf numFmtId="20" fontId="0" fillId="0" borderId="0" xfId="0" applyNumberFormat="1"/>
    <xf numFmtId="0" fontId="0" fillId="0" borderId="1" xfId="0" applyBorder="1"/>
    <xf numFmtId="0" fontId="33" fillId="0" borderId="1" xfId="0" applyFont="1" applyBorder="1"/>
    <xf numFmtId="174" fontId="41" fillId="0" borderId="1" xfId="0" applyNumberFormat="1" applyFont="1" applyBorder="1"/>
    <xf numFmtId="0" fontId="0" fillId="0" borderId="1" xfId="0" quotePrefix="1" applyBorder="1" applyAlignment="1">
      <alignment horizontal="left" indent="6"/>
    </xf>
    <xf numFmtId="169" fontId="41" fillId="0" borderId="1" xfId="2" applyNumberFormat="1" applyFont="1" applyBorder="1"/>
    <xf numFmtId="169" fontId="6" fillId="0" borderId="1" xfId="2" applyNumberFormat="1" applyFont="1" applyBorder="1"/>
    <xf numFmtId="181" fontId="0" fillId="0" borderId="1" xfId="0" applyNumberFormat="1" applyBorder="1"/>
    <xf numFmtId="174" fontId="56" fillId="0" borderId="1" xfId="0" applyNumberFormat="1" applyFont="1" applyBorder="1"/>
    <xf numFmtId="0" fontId="56" fillId="0" borderId="1" xfId="0" quotePrefix="1" applyFont="1" applyBorder="1" applyAlignment="1">
      <alignment horizontal="left" indent="14"/>
    </xf>
    <xf numFmtId="0" fontId="0" fillId="0" borderId="6" xfId="0" applyBorder="1"/>
    <xf numFmtId="181" fontId="0" fillId="0" borderId="6" xfId="0" applyNumberFormat="1" applyBorder="1"/>
    <xf numFmtId="0" fontId="0" fillId="0" borderId="2" xfId="0" applyBorder="1"/>
    <xf numFmtId="181" fontId="0" fillId="0" borderId="3" xfId="0" applyNumberFormat="1" applyBorder="1"/>
    <xf numFmtId="181" fontId="0" fillId="0" borderId="4" xfId="0" applyNumberFormat="1" applyBorder="1"/>
    <xf numFmtId="0" fontId="53" fillId="0" borderId="0" xfId="0" applyFont="1"/>
    <xf numFmtId="169" fontId="8" fillId="0" borderId="0" xfId="2" applyNumberFormat="1" applyFont="1" applyFill="1" applyBorder="1" applyAlignment="1">
      <alignment horizontal="center"/>
    </xf>
    <xf numFmtId="169" fontId="8" fillId="0" borderId="0" xfId="2" applyNumberFormat="1" applyFont="1"/>
    <xf numFmtId="165" fontId="0" fillId="10" borderId="0" xfId="2" applyFont="1" applyFill="1"/>
    <xf numFmtId="169" fontId="0" fillId="10" borderId="0" xfId="2" applyNumberFormat="1" applyFont="1" applyFill="1"/>
    <xf numFmtId="0" fontId="8" fillId="10" borderId="0" xfId="0" applyFont="1" applyFill="1"/>
    <xf numFmtId="179" fontId="33" fillId="0" borderId="0" xfId="2" applyNumberFormat="1" applyFont="1" applyAlignment="1">
      <alignment horizontal="center"/>
    </xf>
    <xf numFmtId="179" fontId="33" fillId="0" borderId="0" xfId="2" applyNumberFormat="1" applyFont="1" applyAlignment="1"/>
    <xf numFmtId="179" fontId="33" fillId="0" borderId="1" xfId="2" applyNumberFormat="1" applyFont="1" applyBorder="1"/>
    <xf numFmtId="179" fontId="0" fillId="0" borderId="1" xfId="2" applyNumberFormat="1" applyFont="1" applyBorder="1"/>
    <xf numFmtId="179" fontId="33" fillId="0" borderId="6" xfId="2" applyNumberFormat="1" applyFont="1" applyBorder="1" applyAlignment="1">
      <alignment horizontal="center" vertical="top" wrapText="1"/>
    </xf>
    <xf numFmtId="173" fontId="0" fillId="0" borderId="0" xfId="0" applyNumberFormat="1"/>
    <xf numFmtId="0" fontId="33" fillId="0" borderId="1" xfId="0" applyFont="1" applyBorder="1" applyAlignment="1">
      <alignment horizontal="center"/>
    </xf>
    <xf numFmtId="9" fontId="0" fillId="0" borderId="0" xfId="1" applyFont="1"/>
    <xf numFmtId="9" fontId="33" fillId="0" borderId="0" xfId="1" applyFont="1"/>
    <xf numFmtId="173" fontId="33" fillId="0" borderId="0" xfId="1" applyNumberFormat="1" applyFont="1"/>
    <xf numFmtId="0" fontId="59" fillId="0" borderId="6" xfId="0" applyFont="1" applyBorder="1" applyAlignment="1">
      <alignment horizontal="center"/>
    </xf>
    <xf numFmtId="171" fontId="61" fillId="0" borderId="5" xfId="0" applyNumberFormat="1" applyFont="1" applyBorder="1"/>
    <xf numFmtId="171" fontId="59" fillId="0" borderId="1" xfId="0" applyNumberFormat="1" applyFont="1" applyBorder="1"/>
    <xf numFmtId="0" fontId="60" fillId="0" borderId="4" xfId="0" applyFont="1" applyBorder="1" applyAlignment="1">
      <alignment horizontal="centerContinuous"/>
    </xf>
    <xf numFmtId="1" fontId="0" fillId="0" borderId="1" xfId="0" applyNumberFormat="1" applyBorder="1"/>
    <xf numFmtId="0" fontId="10" fillId="0" borderId="1" xfId="0" applyFont="1" applyBorder="1" applyAlignment="1">
      <alignment horizontal="centerContinuous"/>
    </xf>
    <xf numFmtId="171" fontId="42" fillId="4" borderId="1" xfId="0" applyNumberFormat="1" applyFont="1" applyFill="1" applyBorder="1"/>
    <xf numFmtId="0" fontId="62" fillId="0" borderId="4" xfId="0" applyFont="1" applyBorder="1" applyAlignment="1">
      <alignment horizontal="centerContinuous"/>
    </xf>
    <xf numFmtId="179" fontId="34" fillId="4" borderId="5" xfId="2" applyNumberFormat="1" applyFont="1" applyFill="1" applyBorder="1"/>
    <xf numFmtId="179" fontId="63" fillId="4" borderId="5" xfId="2" applyNumberFormat="1" applyFont="1" applyFill="1" applyBorder="1"/>
    <xf numFmtId="172" fontId="0" fillId="0" borderId="1" xfId="2" applyNumberFormat="1" applyFont="1" applyFill="1" applyBorder="1"/>
    <xf numFmtId="179" fontId="33" fillId="0" borderId="0" xfId="2" applyNumberFormat="1" applyFont="1"/>
    <xf numFmtId="0" fontId="33" fillId="5" borderId="1" xfId="0" applyFont="1" applyFill="1" applyBorder="1"/>
    <xf numFmtId="0" fontId="33" fillId="5" borderId="0" xfId="0" applyFont="1" applyFill="1" applyAlignment="1">
      <alignment horizontal="left"/>
    </xf>
    <xf numFmtId="165" fontId="0" fillId="0" borderId="0" xfId="0" applyNumberFormat="1"/>
    <xf numFmtId="169" fontId="8" fillId="0" borderId="0" xfId="2" applyNumberFormat="1" applyFont="1" applyFill="1" applyBorder="1"/>
    <xf numFmtId="0" fontId="27" fillId="0" borderId="0" xfId="3" applyAlignment="1" applyProtection="1"/>
    <xf numFmtId="179" fontId="33" fillId="0" borderId="0" xfId="0" applyNumberFormat="1" applyFont="1"/>
    <xf numFmtId="165" fontId="8" fillId="0" borderId="0" xfId="2" applyFont="1" applyFill="1" applyBorder="1"/>
    <xf numFmtId="169" fontId="33" fillId="0" borderId="1" xfId="2" applyNumberFormat="1" applyFont="1" applyBorder="1"/>
    <xf numFmtId="173" fontId="33" fillId="5" borderId="0" xfId="1" applyNumberFormat="1" applyFont="1" applyFill="1"/>
    <xf numFmtId="0" fontId="8" fillId="0" borderId="18" xfId="0" applyFont="1" applyBorder="1"/>
    <xf numFmtId="167" fontId="7" fillId="0" borderId="1" xfId="0" applyNumberFormat="1" applyFont="1" applyBorder="1"/>
    <xf numFmtId="0" fontId="46" fillId="0" borderId="1" xfId="0" applyFont="1" applyBorder="1" applyAlignment="1">
      <alignment horizontal="left"/>
    </xf>
    <xf numFmtId="171" fontId="8" fillId="0" borderId="0" xfId="0" applyNumberFormat="1" applyFont="1"/>
    <xf numFmtId="173" fontId="9" fillId="0" borderId="0" xfId="1" applyNumberFormat="1" applyFont="1"/>
    <xf numFmtId="172" fontId="8" fillId="10" borderId="0" xfId="2" applyNumberFormat="1" applyFont="1" applyFill="1"/>
    <xf numFmtId="169" fontId="33" fillId="0" borderId="0" xfId="2" applyNumberFormat="1" applyFont="1"/>
    <xf numFmtId="0" fontId="24" fillId="4" borderId="6" xfId="2" applyNumberFormat="1" applyFont="1" applyFill="1" applyBorder="1" applyAlignment="1">
      <alignment horizontal="center"/>
    </xf>
    <xf numFmtId="179" fontId="33" fillId="5" borderId="0" xfId="2" applyNumberFormat="1" applyFont="1" applyFill="1"/>
    <xf numFmtId="179" fontId="6" fillId="5" borderId="0" xfId="2" applyNumberFormat="1" applyFont="1" applyFill="1"/>
    <xf numFmtId="0" fontId="12" fillId="0" borderId="0" xfId="0" applyFont="1" applyAlignment="1">
      <alignment horizontal="justify"/>
    </xf>
    <xf numFmtId="0" fontId="12" fillId="0" borderId="11" xfId="0" applyFont="1" applyBorder="1" applyAlignment="1">
      <alignment horizontal="justify"/>
    </xf>
    <xf numFmtId="179" fontId="10" fillId="0" borderId="0" xfId="2" applyNumberFormat="1" applyFont="1" applyAlignment="1">
      <alignment horizontal="right" wrapText="1"/>
    </xf>
    <xf numFmtId="179" fontId="12" fillId="0" borderId="11" xfId="0" applyNumberFormat="1" applyFont="1" applyBorder="1" applyAlignment="1">
      <alignment horizontal="right" wrapText="1"/>
    </xf>
    <xf numFmtId="167" fontId="7" fillId="0" borderId="5" xfId="0" applyNumberFormat="1" applyFont="1" applyBorder="1"/>
    <xf numFmtId="165" fontId="33" fillId="0" borderId="0" xfId="0" applyNumberFormat="1" applyFont="1"/>
    <xf numFmtId="179" fontId="6" fillId="0" borderId="1" xfId="2" applyNumberFormat="1" applyFont="1" applyBorder="1"/>
    <xf numFmtId="187" fontId="0" fillId="0" borderId="0" xfId="2" applyNumberFormat="1" applyFont="1"/>
    <xf numFmtId="168" fontId="0" fillId="0" borderId="0" xfId="0" applyNumberFormat="1"/>
    <xf numFmtId="0" fontId="27" fillId="0" borderId="0" xfId="3" applyAlignment="1" applyProtection="1">
      <alignment horizontal="left"/>
    </xf>
    <xf numFmtId="180" fontId="35" fillId="0" borderId="0" xfId="0" applyNumberFormat="1" applyFont="1"/>
    <xf numFmtId="10" fontId="35" fillId="0" borderId="0" xfId="1" applyNumberFormat="1" applyFont="1"/>
    <xf numFmtId="188" fontId="0" fillId="0" borderId="0" xfId="0" applyNumberFormat="1"/>
    <xf numFmtId="0" fontId="66" fillId="0" borderId="1" xfId="0" applyFont="1" applyBorder="1" applyAlignment="1">
      <alignment horizontal="center"/>
    </xf>
    <xf numFmtId="0" fontId="67" fillId="0" borderId="0" xfId="0" applyFont="1"/>
    <xf numFmtId="179" fontId="19" fillId="0" borderId="0" xfId="2" applyNumberFormat="1" applyFont="1"/>
    <xf numFmtId="0" fontId="3" fillId="0" borderId="0" xfId="0" applyFont="1"/>
    <xf numFmtId="165" fontId="3" fillId="0" borderId="0" xfId="2" applyFont="1" applyBorder="1"/>
    <xf numFmtId="179" fontId="3" fillId="0" borderId="0" xfId="2" applyNumberFormat="1" applyFont="1" applyBorder="1"/>
    <xf numFmtId="179" fontId="66" fillId="0" borderId="0" xfId="2" applyNumberFormat="1" applyFont="1" applyBorder="1"/>
    <xf numFmtId="173" fontId="5" fillId="0" borderId="0" xfId="0" applyNumberFormat="1" applyFont="1"/>
    <xf numFmtId="10" fontId="65" fillId="0" borderId="0" xfId="0" applyNumberFormat="1" applyFont="1"/>
    <xf numFmtId="10" fontId="69" fillId="0" borderId="0" xfId="0" applyNumberFormat="1" applyFont="1"/>
    <xf numFmtId="170" fontId="0" fillId="0" borderId="0" xfId="0" applyNumberFormat="1"/>
    <xf numFmtId="169" fontId="10" fillId="0" borderId="0" xfId="2" applyNumberFormat="1" applyFont="1" applyAlignment="1">
      <alignment horizontal="right" wrapText="1"/>
    </xf>
    <xf numFmtId="169" fontId="10" fillId="0" borderId="11" xfId="2" applyNumberFormat="1" applyFont="1" applyBorder="1" applyAlignment="1">
      <alignment horizontal="right" wrapText="1"/>
    </xf>
    <xf numFmtId="169" fontId="10" fillId="0" borderId="0" xfId="0" applyNumberFormat="1" applyFont="1" applyAlignment="1">
      <alignment horizontal="right" wrapText="1"/>
    </xf>
    <xf numFmtId="169" fontId="10" fillId="0" borderId="11" xfId="0" applyNumberFormat="1" applyFont="1" applyBorder="1" applyAlignment="1">
      <alignment horizontal="right" wrapText="1"/>
    </xf>
    <xf numFmtId="0" fontId="70" fillId="0" borderId="0" xfId="0" applyFont="1" applyAlignment="1">
      <alignment horizontal="left" indent="2"/>
    </xf>
    <xf numFmtId="175" fontId="70" fillId="0" borderId="0" xfId="0" applyNumberFormat="1" applyFont="1"/>
    <xf numFmtId="0" fontId="70" fillId="0" borderId="0" xfId="0" applyFont="1"/>
    <xf numFmtId="0" fontId="24" fillId="0" borderId="4" xfId="0" applyFont="1" applyBorder="1" applyAlignment="1">
      <alignment horizontal="centerContinuous"/>
    </xf>
    <xf numFmtId="0" fontId="13" fillId="0" borderId="1" xfId="0" applyFont="1" applyBorder="1" applyAlignment="1">
      <alignment horizontal="centerContinuous"/>
    </xf>
    <xf numFmtId="1" fontId="70" fillId="0" borderId="0" xfId="0" applyNumberFormat="1" applyFont="1"/>
    <xf numFmtId="0" fontId="24" fillId="4" borderId="1" xfId="0" applyFont="1" applyFill="1" applyBorder="1" applyAlignment="1">
      <alignment horizontal="center"/>
    </xf>
    <xf numFmtId="175" fontId="13" fillId="4" borderId="1" xfId="0" applyNumberFormat="1" applyFont="1" applyFill="1" applyBorder="1"/>
    <xf numFmtId="1" fontId="70" fillId="4" borderId="1" xfId="0" applyNumberFormat="1" applyFont="1" applyFill="1" applyBorder="1"/>
    <xf numFmtId="0" fontId="12" fillId="0" borderId="0" xfId="0" applyFont="1" applyAlignment="1">
      <alignment horizontal="center" wrapText="1"/>
    </xf>
    <xf numFmtId="165" fontId="12" fillId="0" borderId="0" xfId="0" applyNumberFormat="1" applyFont="1" applyAlignment="1">
      <alignment horizontal="right" wrapText="1"/>
    </xf>
    <xf numFmtId="169" fontId="10" fillId="0" borderId="0" xfId="2" applyNumberFormat="1" applyFont="1" applyBorder="1" applyAlignment="1">
      <alignment horizontal="right" wrapText="1"/>
    </xf>
    <xf numFmtId="179" fontId="12" fillId="0" borderId="0" xfId="0" applyNumberFormat="1" applyFont="1" applyAlignment="1">
      <alignment horizontal="right" wrapText="1"/>
    </xf>
    <xf numFmtId="0" fontId="3" fillId="0" borderId="0" xfId="0" applyFont="1" applyAlignment="1">
      <alignment horizontal="center"/>
    </xf>
    <xf numFmtId="0" fontId="13" fillId="0" borderId="0" xfId="0" applyFont="1" applyAlignment="1">
      <alignment horizontal="left" vertical="top" wrapText="1"/>
    </xf>
    <xf numFmtId="179" fontId="0" fillId="5" borderId="0" xfId="2" applyNumberFormat="1" applyFont="1" applyFill="1"/>
    <xf numFmtId="173" fontId="13" fillId="0" borderId="0" xfId="1" applyNumberFormat="1" applyFont="1" applyAlignment="1">
      <alignment horizontal="left" vertical="top" wrapText="1"/>
    </xf>
    <xf numFmtId="172" fontId="33" fillId="8" borderId="0" xfId="0" applyNumberFormat="1" applyFont="1" applyFill="1"/>
    <xf numFmtId="172" fontId="33" fillId="5" borderId="0" xfId="0" applyNumberFormat="1" applyFont="1" applyFill="1"/>
    <xf numFmtId="43" fontId="33" fillId="13" borderId="0" xfId="0" applyNumberFormat="1" applyFont="1" applyFill="1"/>
    <xf numFmtId="172" fontId="33" fillId="0" borderId="0" xfId="0" applyNumberFormat="1" applyFont="1"/>
    <xf numFmtId="181" fontId="33" fillId="0" borderId="0" xfId="0" applyNumberFormat="1" applyFont="1"/>
    <xf numFmtId="0" fontId="33" fillId="3" borderId="1" xfId="0" applyFont="1" applyFill="1" applyBorder="1"/>
    <xf numFmtId="169" fontId="33" fillId="3" borderId="1" xfId="2" applyNumberFormat="1" applyFont="1" applyFill="1" applyBorder="1"/>
    <xf numFmtId="179" fontId="33" fillId="3" borderId="1" xfId="2" applyNumberFormat="1" applyFont="1" applyFill="1" applyBorder="1"/>
    <xf numFmtId="0" fontId="3" fillId="8" borderId="0" xfId="0" applyFont="1" applyFill="1" applyAlignment="1">
      <alignment horizontal="center"/>
    </xf>
    <xf numFmtId="4" fontId="5" fillId="0" borderId="0" xfId="0" applyNumberFormat="1" applyFont="1"/>
    <xf numFmtId="171" fontId="5" fillId="0" borderId="0" xfId="0" applyNumberFormat="1" applyFont="1"/>
    <xf numFmtId="4" fontId="3" fillId="0" borderId="0" xfId="0" applyNumberFormat="1" applyFont="1"/>
    <xf numFmtId="166" fontId="2" fillId="0" borderId="0" xfId="0" applyNumberFormat="1" applyFont="1"/>
    <xf numFmtId="2" fontId="0" fillId="5" borderId="0" xfId="0" applyNumberFormat="1" applyFill="1"/>
    <xf numFmtId="181" fontId="0" fillId="5" borderId="0" xfId="0" applyNumberFormat="1" applyFill="1"/>
    <xf numFmtId="174" fontId="0" fillId="5" borderId="0" xfId="0" applyNumberFormat="1" applyFill="1"/>
    <xf numFmtId="182" fontId="0" fillId="5" borderId="0" xfId="0" applyNumberFormat="1" applyFill="1"/>
    <xf numFmtId="10" fontId="0" fillId="5" borderId="0" xfId="1" applyNumberFormat="1" applyFont="1" applyFill="1" applyBorder="1"/>
    <xf numFmtId="179" fontId="6" fillId="0" borderId="0" xfId="2" applyNumberFormat="1" applyFont="1" applyBorder="1"/>
    <xf numFmtId="179" fontId="41" fillId="0" borderId="0" xfId="2" applyNumberFormat="1" applyFont="1" applyBorder="1"/>
    <xf numFmtId="179" fontId="53" fillId="5" borderId="0" xfId="2" applyNumberFormat="1" applyFont="1" applyFill="1" applyBorder="1"/>
    <xf numFmtId="179" fontId="52" fillId="0" borderId="0" xfId="2" applyNumberFormat="1" applyFont="1" applyBorder="1"/>
    <xf numFmtId="179" fontId="0" fillId="0" borderId="0" xfId="2" applyNumberFormat="1" applyFont="1" applyBorder="1"/>
    <xf numFmtId="0" fontId="0" fillId="9" borderId="0" xfId="0" applyFill="1"/>
    <xf numFmtId="179" fontId="0" fillId="9" borderId="0" xfId="2" applyNumberFormat="1" applyFont="1" applyFill="1" applyBorder="1"/>
    <xf numFmtId="0" fontId="52" fillId="0" borderId="0" xfId="0" applyFont="1"/>
    <xf numFmtId="174" fontId="33" fillId="9" borderId="0" xfId="2" applyNumberFormat="1" applyFont="1" applyFill="1" applyBorder="1"/>
    <xf numFmtId="174" fontId="53" fillId="5" borderId="0" xfId="2" applyNumberFormat="1" applyFont="1" applyFill="1" applyBorder="1"/>
    <xf numFmtId="174" fontId="52" fillId="0" borderId="0" xfId="2" applyNumberFormat="1" applyFont="1" applyBorder="1"/>
    <xf numFmtId="174" fontId="0" fillId="0" borderId="0" xfId="2" applyNumberFormat="1" applyFont="1" applyFill="1" applyBorder="1"/>
    <xf numFmtId="174" fontId="0" fillId="0" borderId="0" xfId="2" applyNumberFormat="1" applyFont="1" applyBorder="1"/>
    <xf numFmtId="166" fontId="52" fillId="0" borderId="0" xfId="0" applyNumberFormat="1" applyFont="1"/>
    <xf numFmtId="0" fontId="0" fillId="12" borderId="0" xfId="0" applyFill="1"/>
    <xf numFmtId="166" fontId="52" fillId="12" borderId="0" xfId="0" applyNumberFormat="1" applyFont="1" applyFill="1"/>
    <xf numFmtId="166" fontId="41" fillId="9" borderId="0" xfId="0" applyNumberFormat="1" applyFont="1" applyFill="1"/>
    <xf numFmtId="166" fontId="0" fillId="9" borderId="0" xfId="0" applyNumberFormat="1" applyFill="1"/>
    <xf numFmtId="2" fontId="52" fillId="0" borderId="0" xfId="0" applyNumberFormat="1" applyFont="1"/>
    <xf numFmtId="0" fontId="0" fillId="0" borderId="0" xfId="0" quotePrefix="1"/>
    <xf numFmtId="174" fontId="52" fillId="0" borderId="0" xfId="2" applyNumberFormat="1" applyFont="1" applyFill="1" applyBorder="1"/>
    <xf numFmtId="174" fontId="52" fillId="0" borderId="0" xfId="0" applyNumberFormat="1" applyFont="1"/>
    <xf numFmtId="174" fontId="53" fillId="0" borderId="0" xfId="0" applyNumberFormat="1" applyFont="1"/>
    <xf numFmtId="174" fontId="33" fillId="0" borderId="0" xfId="0" applyNumberFormat="1" applyFont="1"/>
    <xf numFmtId="181" fontId="52" fillId="0" borderId="0" xfId="0" applyNumberFormat="1" applyFont="1"/>
    <xf numFmtId="181" fontId="53" fillId="0" borderId="0" xfId="0" applyNumberFormat="1" applyFont="1"/>
    <xf numFmtId="165" fontId="0" fillId="0" borderId="0" xfId="2" applyFont="1" applyBorder="1"/>
    <xf numFmtId="173" fontId="0" fillId="0" borderId="0" xfId="1" applyNumberFormat="1" applyFont="1" applyBorder="1"/>
    <xf numFmtId="173" fontId="0" fillId="9" borderId="0" xfId="1" applyNumberFormat="1" applyFont="1" applyFill="1" applyBorder="1"/>
    <xf numFmtId="169" fontId="0" fillId="0" borderId="0" xfId="2" applyNumberFormat="1" applyFont="1" applyBorder="1"/>
    <xf numFmtId="0" fontId="33" fillId="9" borderId="0" xfId="0" applyFont="1" applyFill="1"/>
    <xf numFmtId="174" fontId="41" fillId="0" borderId="0" xfId="2" applyNumberFormat="1" applyFont="1" applyBorder="1"/>
    <xf numFmtId="174" fontId="0" fillId="8" borderId="0" xfId="0" applyNumberFormat="1" applyFill="1"/>
    <xf numFmtId="173" fontId="52" fillId="0" borderId="0" xfId="1" applyNumberFormat="1" applyFont="1" applyBorder="1"/>
    <xf numFmtId="173" fontId="52" fillId="8" borderId="0" xfId="1" applyNumberFormat="1" applyFont="1" applyFill="1" applyBorder="1"/>
    <xf numFmtId="173" fontId="41" fillId="0" borderId="0" xfId="1" applyNumberFormat="1" applyFont="1" applyBorder="1"/>
    <xf numFmtId="173" fontId="41" fillId="8" borderId="0" xfId="1" applyNumberFormat="1" applyFont="1" applyFill="1" applyBorder="1"/>
    <xf numFmtId="173" fontId="0" fillId="8" borderId="0" xfId="1" applyNumberFormat="1" applyFont="1" applyFill="1" applyBorder="1"/>
    <xf numFmtId="173" fontId="33" fillId="11" borderId="0" xfId="1" applyNumberFormat="1" applyFont="1" applyFill="1" applyBorder="1"/>
    <xf numFmtId="0" fontId="57" fillId="0" borderId="0" xfId="0" applyFont="1"/>
    <xf numFmtId="0" fontId="58" fillId="0" borderId="0" xfId="0" applyFont="1"/>
    <xf numFmtId="4" fontId="58" fillId="0" borderId="0" xfId="0" applyNumberFormat="1" applyFont="1"/>
    <xf numFmtId="4" fontId="57" fillId="0" borderId="0" xfId="0" applyNumberFormat="1" applyFont="1"/>
    <xf numFmtId="4" fontId="33" fillId="0" borderId="0" xfId="0" applyNumberFormat="1" applyFont="1"/>
    <xf numFmtId="4" fontId="52" fillId="0" borderId="0" xfId="0" applyNumberFormat="1" applyFont="1"/>
    <xf numFmtId="4" fontId="53" fillId="0" borderId="0" xfId="0" applyNumberFormat="1" applyFont="1"/>
    <xf numFmtId="4" fontId="0" fillId="0" borderId="0" xfId="0" applyNumberFormat="1"/>
    <xf numFmtId="177" fontId="6" fillId="0" borderId="0" xfId="2" applyNumberFormat="1" applyFont="1"/>
    <xf numFmtId="173" fontId="10" fillId="0" borderId="0" xfId="1" applyNumberFormat="1" applyFont="1"/>
    <xf numFmtId="173" fontId="35" fillId="0" borderId="0" xfId="1" applyNumberFormat="1" applyFont="1"/>
    <xf numFmtId="164" fontId="21" fillId="0" borderId="0" xfId="0" applyNumberFormat="1" applyFont="1"/>
    <xf numFmtId="0" fontId="40" fillId="0" borderId="0" xfId="0" applyFont="1" applyAlignment="1">
      <alignment horizontal="center"/>
    </xf>
    <xf numFmtId="179" fontId="72" fillId="0" borderId="1" xfId="2" applyNumberFormat="1" applyFont="1" applyBorder="1"/>
    <xf numFmtId="0" fontId="12" fillId="0" borderId="11" xfId="0" applyFont="1" applyBorder="1" applyAlignment="1">
      <alignment horizontal="centerContinuous" wrapText="1"/>
    </xf>
    <xf numFmtId="0" fontId="35" fillId="0" borderId="11" xfId="0" applyFont="1" applyBorder="1" applyAlignment="1">
      <alignment horizontal="centerContinuous"/>
    </xf>
    <xf numFmtId="0" fontId="12" fillId="0" borderId="11" xfId="0" applyFont="1" applyBorder="1" applyAlignment="1">
      <alignment horizontal="centerContinuous" vertical="center" wrapText="1"/>
    </xf>
    <xf numFmtId="0" fontId="52" fillId="5" borderId="0" xfId="0" applyFont="1" applyFill="1"/>
    <xf numFmtId="175" fontId="52" fillId="0" borderId="0" xfId="0" applyNumberFormat="1" applyFont="1"/>
    <xf numFmtId="0" fontId="52" fillId="9" borderId="0" xfId="0" applyFont="1" applyFill="1"/>
    <xf numFmtId="0" fontId="46" fillId="0" borderId="2" xfId="0" applyFont="1" applyBorder="1"/>
    <xf numFmtId="0" fontId="46" fillId="0" borderId="3" xfId="0" applyFont="1" applyBorder="1"/>
    <xf numFmtId="181" fontId="41" fillId="5" borderId="0" xfId="0" applyNumberFormat="1" applyFont="1" applyFill="1"/>
    <xf numFmtId="166" fontId="41" fillId="0" borderId="0" xfId="0" applyNumberFormat="1" applyFont="1"/>
    <xf numFmtId="2" fontId="41" fillId="0" borderId="0" xfId="0" applyNumberFormat="1" applyFont="1"/>
    <xf numFmtId="174" fontId="41" fillId="0" borderId="0" xfId="0" applyNumberFormat="1" applyFont="1"/>
    <xf numFmtId="174" fontId="71" fillId="0" borderId="0" xfId="0" applyNumberFormat="1" applyFont="1"/>
    <xf numFmtId="181" fontId="41" fillId="0" borderId="0" xfId="0" applyNumberFormat="1" applyFont="1"/>
    <xf numFmtId="181" fontId="71" fillId="0" borderId="0" xfId="0" applyNumberFormat="1" applyFont="1"/>
    <xf numFmtId="179" fontId="41" fillId="9" borderId="0" xfId="2" applyNumberFormat="1" applyFont="1" applyFill="1" applyBorder="1"/>
    <xf numFmtId="0" fontId="71" fillId="0" borderId="0" xfId="0" applyFont="1"/>
    <xf numFmtId="0" fontId="41" fillId="0" borderId="0" xfId="0" applyFont="1"/>
    <xf numFmtId="179" fontId="41" fillId="0" borderId="0" xfId="0" applyNumberFormat="1" applyFont="1"/>
    <xf numFmtId="175" fontId="41" fillId="0" borderId="0" xfId="0" applyNumberFormat="1" applyFont="1"/>
    <xf numFmtId="182" fontId="41" fillId="5" borderId="0" xfId="0" applyNumberFormat="1" applyFont="1" applyFill="1"/>
    <xf numFmtId="10" fontId="41" fillId="5" borderId="0" xfId="1" applyNumberFormat="1" applyFont="1" applyFill="1" applyBorder="1"/>
    <xf numFmtId="1" fontId="73" fillId="0" borderId="0" xfId="0" applyNumberFormat="1" applyFont="1"/>
    <xf numFmtId="179" fontId="33" fillId="0" borderId="4" xfId="2" applyNumberFormat="1" applyFont="1" applyBorder="1"/>
    <xf numFmtId="0" fontId="60" fillId="0" borderId="0" xfId="0" applyFont="1"/>
    <xf numFmtId="171" fontId="60" fillId="0" borderId="0" xfId="0" applyNumberFormat="1" applyFont="1"/>
    <xf numFmtId="3" fontId="60" fillId="0" borderId="0" xfId="0" applyNumberFormat="1" applyFont="1"/>
    <xf numFmtId="173" fontId="60" fillId="0" borderId="0" xfId="1" applyNumberFormat="1" applyFont="1"/>
    <xf numFmtId="173" fontId="61" fillId="0" borderId="0" xfId="1" applyNumberFormat="1" applyFont="1"/>
    <xf numFmtId="175" fontId="60" fillId="0" borderId="0" xfId="0" applyNumberFormat="1" applyFont="1"/>
    <xf numFmtId="175" fontId="61" fillId="0" borderId="0" xfId="1" applyNumberFormat="1" applyFont="1"/>
    <xf numFmtId="0" fontId="61" fillId="0" borderId="0" xfId="0" applyFont="1"/>
    <xf numFmtId="2" fontId="2" fillId="0" borderId="0" xfId="0" applyNumberFormat="1" applyFont="1"/>
    <xf numFmtId="165" fontId="2" fillId="0" borderId="0" xfId="2" applyFont="1"/>
    <xf numFmtId="2" fontId="5" fillId="0" borderId="0" xfId="0" applyNumberFormat="1" applyFont="1"/>
    <xf numFmtId="175" fontId="0" fillId="10" borderId="0" xfId="0" applyNumberFormat="1" applyFill="1"/>
    <xf numFmtId="175" fontId="71" fillId="0" borderId="0" xfId="0" applyNumberFormat="1" applyFont="1"/>
    <xf numFmtId="1" fontId="8" fillId="10" borderId="0" xfId="0" applyNumberFormat="1" applyFont="1" applyFill="1"/>
    <xf numFmtId="179" fontId="10" fillId="0" borderId="0" xfId="2" applyNumberFormat="1" applyFont="1"/>
    <xf numFmtId="179" fontId="10" fillId="0" borderId="0" xfId="0" applyNumberFormat="1" applyFont="1"/>
    <xf numFmtId="0" fontId="30" fillId="0" borderId="2" xfId="0" applyFont="1" applyBorder="1" applyAlignment="1">
      <alignment wrapText="1"/>
    </xf>
    <xf numFmtId="0" fontId="30" fillId="0" borderId="3" xfId="0" applyFont="1" applyBorder="1" applyAlignment="1">
      <alignment wrapText="1"/>
    </xf>
    <xf numFmtId="0" fontId="30" fillId="0" borderId="4" xfId="0" applyFont="1" applyBorder="1" applyAlignment="1">
      <alignment wrapText="1"/>
    </xf>
    <xf numFmtId="164" fontId="0" fillId="0" borderId="0" xfId="0" applyNumberFormat="1"/>
    <xf numFmtId="189" fontId="0" fillId="0" borderId="0" xfId="0" applyNumberFormat="1"/>
    <xf numFmtId="179" fontId="33" fillId="9" borderId="0" xfId="2" applyNumberFormat="1" applyFont="1" applyFill="1"/>
    <xf numFmtId="179" fontId="33" fillId="9" borderId="0" xfId="0" applyNumberFormat="1" applyFont="1" applyFill="1"/>
    <xf numFmtId="3" fontId="8" fillId="0" borderId="29" xfId="0" applyNumberFormat="1" applyFont="1" applyBorder="1"/>
    <xf numFmtId="0" fontId="8" fillId="14" borderId="29" xfId="0" applyFont="1" applyFill="1" applyBorder="1"/>
    <xf numFmtId="4" fontId="8" fillId="0" borderId="29" xfId="0" applyNumberFormat="1" applyFont="1" applyBorder="1"/>
    <xf numFmtId="4" fontId="33" fillId="5" borderId="0" xfId="0" applyNumberFormat="1" applyFont="1" applyFill="1"/>
    <xf numFmtId="43" fontId="33" fillId="5" borderId="0" xfId="0" applyNumberFormat="1" applyFont="1" applyFill="1"/>
    <xf numFmtId="190" fontId="0" fillId="0" borderId="0" xfId="0" applyNumberFormat="1"/>
    <xf numFmtId="171" fontId="0" fillId="0" borderId="0" xfId="2" applyNumberFormat="1" applyFont="1"/>
    <xf numFmtId="165" fontId="10" fillId="0" borderId="0" xfId="2" applyFont="1" applyAlignment="1">
      <alignment horizontal="right" wrapText="1"/>
    </xf>
    <xf numFmtId="43" fontId="10" fillId="0" borderId="9" xfId="0" applyNumberFormat="1" applyFont="1" applyBorder="1" applyAlignment="1">
      <alignment horizontal="center" wrapText="1"/>
    </xf>
    <xf numFmtId="43" fontId="10" fillId="0" borderId="0" xfId="0" applyNumberFormat="1" applyFont="1" applyAlignment="1">
      <alignment horizontal="center" wrapText="1"/>
    </xf>
    <xf numFmtId="43" fontId="10" fillId="0" borderId="11" xfId="0" applyNumberFormat="1" applyFont="1" applyBorder="1" applyAlignment="1">
      <alignment horizontal="center" wrapText="1"/>
    </xf>
    <xf numFmtId="165" fontId="10" fillId="0" borderId="11" xfId="2" applyFont="1" applyBorder="1" applyAlignment="1">
      <alignment horizontal="right" wrapText="1"/>
    </xf>
    <xf numFmtId="174" fontId="0" fillId="0" borderId="3" xfId="2" applyNumberFormat="1" applyFont="1" applyBorder="1"/>
    <xf numFmtId="0" fontId="40" fillId="15" borderId="1" xfId="0" applyFont="1" applyFill="1" applyBorder="1" applyAlignment="1">
      <alignment horizontal="center"/>
    </xf>
    <xf numFmtId="0" fontId="3" fillId="15" borderId="1" xfId="0" applyFont="1" applyFill="1" applyBorder="1" applyAlignment="1">
      <alignment horizontal="center"/>
    </xf>
    <xf numFmtId="179" fontId="3" fillId="15" borderId="1" xfId="2" applyNumberFormat="1" applyFont="1" applyFill="1" applyBorder="1"/>
    <xf numFmtId="167" fontId="5" fillId="0" borderId="0" xfId="0" applyNumberFormat="1" applyFont="1"/>
    <xf numFmtId="167" fontId="3" fillId="0" borderId="0" xfId="0" applyNumberFormat="1" applyFont="1"/>
    <xf numFmtId="167" fontId="2" fillId="0" borderId="0" xfId="0" applyNumberFormat="1" applyFont="1"/>
    <xf numFmtId="167" fontId="3" fillId="0" borderId="0" xfId="0" applyNumberFormat="1" applyFont="1" applyAlignment="1">
      <alignment horizontal="center"/>
    </xf>
    <xf numFmtId="191" fontId="8" fillId="0" borderId="0" xfId="0" applyNumberFormat="1" applyFont="1"/>
    <xf numFmtId="166" fontId="33" fillId="5" borderId="0" xfId="0" applyNumberFormat="1" applyFont="1" applyFill="1"/>
    <xf numFmtId="0" fontId="0" fillId="16" borderId="0" xfId="0" applyFill="1"/>
    <xf numFmtId="0" fontId="33" fillId="16" borderId="0" xfId="0" applyFont="1" applyFill="1"/>
    <xf numFmtId="185" fontId="0" fillId="16" borderId="0" xfId="0" applyNumberFormat="1" applyFill="1"/>
    <xf numFmtId="180" fontId="0" fillId="16" borderId="0" xfId="0" applyNumberFormat="1" applyFill="1"/>
    <xf numFmtId="2" fontId="33" fillId="0" borderId="0" xfId="0" applyNumberFormat="1" applyFont="1"/>
    <xf numFmtId="192" fontId="10" fillId="0" borderId="0" xfId="0" applyNumberFormat="1" applyFont="1"/>
    <xf numFmtId="0" fontId="7" fillId="17" borderId="1" xfId="0" applyFont="1" applyFill="1" applyBorder="1"/>
    <xf numFmtId="0" fontId="0" fillId="17" borderId="0" xfId="0" applyFill="1"/>
    <xf numFmtId="175" fontId="33" fillId="17" borderId="0" xfId="0" applyNumberFormat="1" applyFont="1" applyFill="1"/>
    <xf numFmtId="179" fontId="33" fillId="17" borderId="0" xfId="2" applyNumberFormat="1" applyFont="1" applyFill="1"/>
    <xf numFmtId="0" fontId="8" fillId="17" borderId="1" xfId="0" applyFont="1" applyFill="1" applyBorder="1"/>
    <xf numFmtId="174" fontId="0" fillId="17" borderId="0" xfId="2" applyNumberFormat="1" applyFont="1" applyFill="1"/>
    <xf numFmtId="179" fontId="0" fillId="17" borderId="0" xfId="2" applyNumberFormat="1" applyFont="1" applyFill="1"/>
    <xf numFmtId="174" fontId="33" fillId="17" borderId="0" xfId="2" applyNumberFormat="1" applyFont="1" applyFill="1"/>
    <xf numFmtId="175" fontId="0" fillId="17" borderId="0" xfId="0" applyNumberFormat="1" applyFill="1"/>
    <xf numFmtId="0" fontId="7" fillId="17" borderId="0" xfId="0" applyFont="1" applyFill="1"/>
    <xf numFmtId="0" fontId="8" fillId="17" borderId="0" xfId="0" applyFont="1" applyFill="1"/>
    <xf numFmtId="165" fontId="0" fillId="11" borderId="0" xfId="2" applyFont="1" applyFill="1"/>
    <xf numFmtId="3" fontId="7" fillId="0" borderId="29" xfId="0" applyNumberFormat="1" applyFont="1" applyBorder="1"/>
    <xf numFmtId="3" fontId="7" fillId="18" borderId="29" xfId="0" applyNumberFormat="1" applyFont="1" applyFill="1" applyBorder="1"/>
    <xf numFmtId="3" fontId="7" fillId="5" borderId="29" xfId="0" applyNumberFormat="1" applyFont="1" applyFill="1" applyBorder="1"/>
    <xf numFmtId="3" fontId="7" fillId="19" borderId="29" xfId="0" applyNumberFormat="1" applyFont="1" applyFill="1" applyBorder="1"/>
    <xf numFmtId="179" fontId="52" fillId="0" borderId="0" xfId="2" applyNumberFormat="1" applyFont="1"/>
    <xf numFmtId="10" fontId="0" fillId="0" borderId="0" xfId="1" applyNumberFormat="1" applyFont="1"/>
    <xf numFmtId="173" fontId="59" fillId="0" borderId="0" xfId="0" applyNumberFormat="1" applyFont="1"/>
    <xf numFmtId="166" fontId="21" fillId="0" borderId="0" xfId="0" applyNumberFormat="1" applyFont="1" applyAlignment="1">
      <alignment horizontal="center" wrapText="1"/>
    </xf>
    <xf numFmtId="166" fontId="21" fillId="0" borderId="0" xfId="0" applyNumberFormat="1" applyFont="1" applyAlignment="1">
      <alignment horizontal="center"/>
    </xf>
    <xf numFmtId="166" fontId="21" fillId="0" borderId="8" xfId="0" applyNumberFormat="1" applyFont="1" applyBorder="1" applyAlignment="1">
      <alignment horizontal="center" wrapText="1"/>
    </xf>
    <xf numFmtId="166" fontId="21" fillId="0" borderId="8" xfId="0" applyNumberFormat="1" applyFont="1" applyBorder="1" applyAlignment="1">
      <alignment horizontal="center"/>
    </xf>
    <xf numFmtId="169" fontId="0" fillId="16" borderId="0" xfId="2" applyNumberFormat="1" applyFont="1" applyFill="1"/>
    <xf numFmtId="49" fontId="29" fillId="0" borderId="31" xfId="4" applyNumberFormat="1" applyFont="1" applyBorder="1" applyAlignment="1">
      <alignment horizontal="left"/>
    </xf>
    <xf numFmtId="49" fontId="29" fillId="0" borderId="32" xfId="4" applyNumberFormat="1" applyFont="1" applyBorder="1" applyAlignment="1">
      <alignment horizontal="left"/>
    </xf>
    <xf numFmtId="49" fontId="45" fillId="0" borderId="31" xfId="4" applyNumberFormat="1" applyFont="1" applyBorder="1" applyAlignment="1">
      <alignment horizontal="left"/>
    </xf>
    <xf numFmtId="3" fontId="7" fillId="0" borderId="33" xfId="0" applyNumberFormat="1" applyFont="1" applyBorder="1"/>
    <xf numFmtId="2" fontId="33" fillId="0" borderId="0" xfId="2" applyNumberFormat="1" applyFont="1"/>
    <xf numFmtId="2" fontId="53" fillId="0" borderId="0" xfId="0" applyNumberFormat="1" applyFont="1"/>
    <xf numFmtId="169" fontId="77" fillId="0" borderId="0" xfId="0" applyNumberFormat="1" applyFont="1" applyAlignment="1">
      <alignment horizontal="right" wrapText="1"/>
    </xf>
    <xf numFmtId="169" fontId="77" fillId="0" borderId="11" xfId="0" applyNumberFormat="1" applyFont="1" applyBorder="1" applyAlignment="1">
      <alignment horizontal="right" wrapText="1"/>
    </xf>
    <xf numFmtId="169" fontId="77" fillId="0" borderId="0" xfId="2" applyNumberFormat="1" applyFont="1" applyAlignment="1">
      <alignment horizontal="right" wrapText="1"/>
    </xf>
    <xf numFmtId="169" fontId="77" fillId="0" borderId="11" xfId="2" applyNumberFormat="1" applyFont="1" applyBorder="1" applyAlignment="1">
      <alignment horizontal="right" wrapText="1"/>
    </xf>
    <xf numFmtId="0" fontId="25" fillId="0" borderId="11" xfId="0" applyFont="1" applyBorder="1" applyAlignment="1">
      <alignment vertical="top"/>
    </xf>
    <xf numFmtId="0" fontId="13" fillId="0" borderId="11" xfId="0" applyFont="1" applyBorder="1" applyAlignment="1">
      <alignment vertical="top"/>
    </xf>
    <xf numFmtId="4" fontId="52" fillId="0" borderId="0" xfId="2" applyNumberFormat="1" applyFont="1"/>
    <xf numFmtId="174" fontId="41" fillId="5" borderId="0" xfId="2" applyNumberFormat="1" applyFont="1" applyFill="1" applyBorder="1"/>
    <xf numFmtId="179" fontId="9" fillId="0" borderId="0" xfId="0" applyNumberFormat="1" applyFont="1"/>
    <xf numFmtId="179" fontId="9" fillId="0" borderId="0" xfId="2" applyNumberFormat="1" applyFont="1"/>
    <xf numFmtId="192" fontId="0" fillId="0" borderId="0" xfId="0" applyNumberFormat="1"/>
    <xf numFmtId="171" fontId="2" fillId="0" borderId="0" xfId="0" applyNumberFormat="1" applyFont="1"/>
    <xf numFmtId="173" fontId="76" fillId="0" borderId="0" xfId="1" applyNumberFormat="1" applyFont="1"/>
    <xf numFmtId="0" fontId="12" fillId="0" borderId="34" xfId="0" applyFont="1" applyBorder="1" applyAlignment="1">
      <alignment horizontal="center" wrapText="1"/>
    </xf>
    <xf numFmtId="0" fontId="19" fillId="0" borderId="34" xfId="0" applyFont="1" applyBorder="1" applyAlignment="1">
      <alignment horizontal="center" wrapText="1"/>
    </xf>
    <xf numFmtId="0" fontId="12" fillId="0" borderId="34" xfId="0" applyFont="1" applyBorder="1" applyAlignment="1">
      <alignment horizontal="center" vertical="top" wrapText="1"/>
    </xf>
    <xf numFmtId="176" fontId="0" fillId="0" borderId="0" xfId="2" applyNumberFormat="1" applyFont="1"/>
    <xf numFmtId="184" fontId="0" fillId="16" borderId="0" xfId="2" applyNumberFormat="1" applyFont="1" applyFill="1"/>
    <xf numFmtId="173" fontId="2" fillId="0" borderId="0" xfId="1" applyNumberFormat="1" applyFont="1" applyBorder="1"/>
    <xf numFmtId="169" fontId="53" fillId="0" borderId="0" xfId="2" applyNumberFormat="1" applyFont="1"/>
    <xf numFmtId="173" fontId="36" fillId="0" borderId="0" xfId="1" applyNumberFormat="1" applyFont="1"/>
    <xf numFmtId="2" fontId="0" fillId="20" borderId="1" xfId="0" applyNumberFormat="1" applyFill="1" applyBorder="1"/>
    <xf numFmtId="0" fontId="7" fillId="0" borderId="5" xfId="2" applyNumberFormat="1" applyFont="1" applyBorder="1" applyAlignment="1">
      <alignment horizontal="center"/>
    </xf>
    <xf numFmtId="179" fontId="3" fillId="0" borderId="1" xfId="2" applyNumberFormat="1" applyFont="1" applyFill="1" applyBorder="1"/>
    <xf numFmtId="167" fontId="59" fillId="0" borderId="0" xfId="0" applyNumberFormat="1" applyFont="1"/>
    <xf numFmtId="171" fontId="0" fillId="16" borderId="0" xfId="2" applyNumberFormat="1" applyFont="1" applyFill="1"/>
    <xf numFmtId="171" fontId="46" fillId="0" borderId="1" xfId="2" applyNumberFormat="1" applyFont="1" applyBorder="1" applyAlignment="1">
      <alignment horizontal="right"/>
    </xf>
    <xf numFmtId="171" fontId="47" fillId="0" borderId="1" xfId="2" applyNumberFormat="1" applyFont="1" applyBorder="1" applyAlignment="1">
      <alignment horizontal="right"/>
    </xf>
    <xf numFmtId="165" fontId="42" fillId="0" borderId="5" xfId="2" applyFont="1" applyFill="1" applyBorder="1"/>
    <xf numFmtId="4" fontId="42" fillId="0" borderId="5" xfId="2" applyNumberFormat="1" applyFont="1" applyFill="1" applyBorder="1"/>
    <xf numFmtId="0" fontId="12" fillId="0" borderId="1" xfId="0" applyFont="1" applyBorder="1" applyAlignment="1">
      <alignment horizontal="center"/>
    </xf>
    <xf numFmtId="0" fontId="13" fillId="0" borderId="0" xfId="0" applyFont="1" applyAlignment="1">
      <alignment vertical="top"/>
    </xf>
    <xf numFmtId="179" fontId="68" fillId="0" borderId="0" xfId="2" applyNumberFormat="1" applyFont="1"/>
    <xf numFmtId="181" fontId="70" fillId="0" borderId="4" xfId="0" applyNumberFormat="1" applyFont="1" applyBorder="1"/>
    <xf numFmtId="169" fontId="71" fillId="0" borderId="1" xfId="2" applyNumberFormat="1" applyFont="1" applyFill="1" applyBorder="1"/>
    <xf numFmtId="0" fontId="60" fillId="0" borderId="1" xfId="0" applyFont="1" applyBorder="1"/>
    <xf numFmtId="171" fontId="60" fillId="0" borderId="1" xfId="0" applyNumberFormat="1" applyFont="1" applyBorder="1"/>
    <xf numFmtId="0" fontId="49" fillId="0" borderId="0" xfId="0" applyFont="1"/>
    <xf numFmtId="175" fontId="61" fillId="0" borderId="1" xfId="1" applyNumberFormat="1" applyFont="1" applyBorder="1"/>
    <xf numFmtId="2" fontId="61" fillId="0" borderId="1" xfId="1" applyNumberFormat="1" applyFont="1" applyBorder="1"/>
    <xf numFmtId="179" fontId="77" fillId="0" borderId="0" xfId="2" applyNumberFormat="1" applyFont="1" applyAlignment="1">
      <alignment horizontal="right" wrapText="1"/>
    </xf>
    <xf numFmtId="179" fontId="68" fillId="0" borderId="11" xfId="0" applyNumberFormat="1" applyFont="1" applyBorder="1" applyAlignment="1">
      <alignment horizontal="right" wrapText="1"/>
    </xf>
    <xf numFmtId="10" fontId="52" fillId="5" borderId="1" xfId="1" applyNumberFormat="1" applyFont="1" applyFill="1" applyBorder="1"/>
    <xf numFmtId="0" fontId="79" fillId="0" borderId="1" xfId="0" applyFont="1" applyBorder="1"/>
    <xf numFmtId="179" fontId="35" fillId="0" borderId="1" xfId="2" applyNumberFormat="1" applyFont="1" applyBorder="1"/>
    <xf numFmtId="179" fontId="34" fillId="4" borderId="1" xfId="2" applyNumberFormat="1" applyFont="1" applyFill="1" applyBorder="1"/>
    <xf numFmtId="0" fontId="80" fillId="0" borderId="1" xfId="0" applyFont="1" applyBorder="1" applyAlignment="1">
      <alignment horizontal="left" indent="2"/>
    </xf>
    <xf numFmtId="0" fontId="80" fillId="0" borderId="1" xfId="0" applyFont="1" applyBorder="1" applyAlignment="1">
      <alignment horizontal="right"/>
    </xf>
    <xf numFmtId="171" fontId="80" fillId="0" borderId="1" xfId="0" applyNumberFormat="1" applyFont="1" applyBorder="1" applyAlignment="1">
      <alignment horizontal="right"/>
    </xf>
    <xf numFmtId="0" fontId="8" fillId="0" borderId="1" xfId="0" applyFont="1" applyBorder="1" applyAlignment="1">
      <alignment horizontal="left" indent="1"/>
    </xf>
    <xf numFmtId="0" fontId="8" fillId="0" borderId="1" xfId="0" applyFont="1" applyBorder="1" applyAlignment="1">
      <alignment horizontal="left" indent="3"/>
    </xf>
    <xf numFmtId="0" fontId="8" fillId="0" borderId="1" xfId="0" applyFont="1" applyBorder="1" applyAlignment="1">
      <alignment horizontal="left" wrapText="1" indent="1"/>
    </xf>
    <xf numFmtId="179" fontId="19" fillId="0" borderId="1" xfId="2" applyNumberFormat="1" applyFont="1" applyFill="1" applyBorder="1"/>
    <xf numFmtId="179" fontId="21" fillId="0" borderId="1" xfId="2" applyNumberFormat="1" applyFont="1" applyFill="1" applyBorder="1"/>
    <xf numFmtId="179" fontId="24" fillId="4" borderId="1" xfId="2" applyNumberFormat="1" applyFont="1" applyFill="1" applyBorder="1" applyAlignment="1">
      <alignment horizontal="center"/>
    </xf>
    <xf numFmtId="179" fontId="25" fillId="0" borderId="1" xfId="2" applyNumberFormat="1" applyFont="1" applyFill="1" applyBorder="1"/>
    <xf numFmtId="165" fontId="80" fillId="0" borderId="1" xfId="2" applyFont="1" applyBorder="1" applyAlignment="1">
      <alignment horizontal="right"/>
    </xf>
    <xf numFmtId="179" fontId="25" fillId="4" borderId="1" xfId="2" applyNumberFormat="1" applyFont="1" applyFill="1" applyBorder="1"/>
    <xf numFmtId="179" fontId="19" fillId="4" borderId="1" xfId="2" applyNumberFormat="1" applyFont="1" applyFill="1" applyBorder="1"/>
    <xf numFmtId="179" fontId="21" fillId="4" borderId="1" xfId="2" applyNumberFormat="1" applyFont="1" applyFill="1" applyBorder="1"/>
    <xf numFmtId="0" fontId="70" fillId="0" borderId="0" xfId="4" applyFont="1" applyAlignment="1">
      <alignment horizontal="left" indent="3"/>
    </xf>
    <xf numFmtId="171" fontId="0" fillId="5" borderId="0" xfId="0" applyNumberFormat="1" applyFill="1"/>
    <xf numFmtId="171" fontId="0" fillId="5" borderId="0" xfId="2" applyNumberFormat="1" applyFont="1" applyFill="1"/>
    <xf numFmtId="179" fontId="19" fillId="5" borderId="0" xfId="2" applyNumberFormat="1" applyFont="1" applyFill="1"/>
    <xf numFmtId="0" fontId="33" fillId="0" borderId="0" xfId="4" applyFont="1"/>
    <xf numFmtId="0" fontId="70" fillId="0" borderId="0" xfId="4" applyFont="1" applyAlignment="1">
      <alignment horizontal="left" wrapText="1" indent="2"/>
    </xf>
    <xf numFmtId="0" fontId="70" fillId="0" borderId="0" xfId="4" applyFont="1" applyAlignment="1">
      <alignment horizontal="left" indent="2"/>
    </xf>
    <xf numFmtId="179" fontId="65" fillId="0" borderId="1" xfId="2" applyNumberFormat="1" applyFont="1" applyBorder="1"/>
    <xf numFmtId="193" fontId="0" fillId="0" borderId="0" xfId="0" applyNumberFormat="1"/>
    <xf numFmtId="0" fontId="28" fillId="0" borderId="0" xfId="3" applyFont="1" applyAlignment="1" applyProtection="1">
      <alignment vertical="top"/>
    </xf>
    <xf numFmtId="4" fontId="60" fillId="0" borderId="0" xfId="0" applyNumberFormat="1" applyFont="1"/>
    <xf numFmtId="3" fontId="75" fillId="0" borderId="0" xfId="0" applyNumberFormat="1" applyFont="1"/>
    <xf numFmtId="1" fontId="52" fillId="0" borderId="0" xfId="0" applyNumberFormat="1" applyFont="1"/>
    <xf numFmtId="179" fontId="21" fillId="0" borderId="0" xfId="2" applyNumberFormat="1" applyFont="1" applyAlignment="1">
      <alignment horizontal="right" wrapText="1"/>
    </xf>
    <xf numFmtId="169" fontId="21" fillId="0" borderId="0" xfId="2" applyNumberFormat="1" applyFont="1" applyAlignment="1">
      <alignment horizontal="right" wrapText="1"/>
    </xf>
    <xf numFmtId="169" fontId="21" fillId="0" borderId="11" xfId="2" applyNumberFormat="1" applyFont="1" applyBorder="1" applyAlignment="1">
      <alignment horizontal="right" wrapText="1"/>
    </xf>
    <xf numFmtId="179" fontId="19" fillId="0" borderId="11" xfId="0" applyNumberFormat="1" applyFont="1" applyBorder="1" applyAlignment="1">
      <alignment horizontal="right" wrapText="1"/>
    </xf>
    <xf numFmtId="170" fontId="41" fillId="0" borderId="0" xfId="0" applyNumberFormat="1" applyFont="1"/>
    <xf numFmtId="0" fontId="19" fillId="0" borderId="11" xfId="0" applyFont="1" applyBorder="1" applyAlignment="1">
      <alignment horizontal="centerContinuous" wrapText="1"/>
    </xf>
    <xf numFmtId="3" fontId="0" fillId="0" borderId="0" xfId="0" applyNumberFormat="1"/>
    <xf numFmtId="43" fontId="7" fillId="0" borderId="0" xfId="2" applyNumberFormat="1" applyFont="1" applyFill="1" applyAlignment="1">
      <alignment horizontal="centerContinuous"/>
    </xf>
    <xf numFmtId="172" fontId="8" fillId="0" borderId="0" xfId="2" applyNumberFormat="1" applyFont="1" applyFill="1"/>
    <xf numFmtId="0" fontId="7" fillId="0" borderId="0" xfId="0" applyFont="1" applyAlignment="1">
      <alignment horizontal="right"/>
    </xf>
    <xf numFmtId="179" fontId="71" fillId="0" borderId="0" xfId="2" applyNumberFormat="1" applyFont="1"/>
    <xf numFmtId="165" fontId="71" fillId="0" borderId="0" xfId="2" applyFont="1"/>
    <xf numFmtId="164" fontId="10" fillId="0" borderId="0" xfId="0" applyNumberFormat="1" applyFont="1"/>
    <xf numFmtId="167" fontId="33" fillId="0" borderId="0" xfId="2" applyNumberFormat="1" applyFont="1"/>
    <xf numFmtId="167" fontId="6" fillId="0" borderId="0" xfId="2" applyNumberFormat="1" applyFont="1"/>
    <xf numFmtId="0" fontId="81" fillId="0" borderId="1" xfId="0" applyFont="1" applyBorder="1" applyAlignment="1">
      <alignment horizontal="center"/>
    </xf>
    <xf numFmtId="0" fontId="83" fillId="0" borderId="1" xfId="0" applyFont="1" applyBorder="1" applyAlignment="1">
      <alignment horizontal="center"/>
    </xf>
    <xf numFmtId="0" fontId="83" fillId="0" borderId="0" xfId="0" applyFont="1" applyAlignment="1">
      <alignment horizontal="center"/>
    </xf>
    <xf numFmtId="179" fontId="84" fillId="0" borderId="1" xfId="2" applyNumberFormat="1" applyFont="1" applyBorder="1"/>
    <xf numFmtId="179" fontId="85" fillId="0" borderId="1" xfId="2" applyNumberFormat="1" applyFont="1" applyBorder="1"/>
    <xf numFmtId="165" fontId="33" fillId="9" borderId="0" xfId="0" applyNumberFormat="1" applyFont="1" applyFill="1"/>
    <xf numFmtId="0" fontId="1" fillId="0" borderId="0" xfId="0" applyFont="1" applyAlignment="1">
      <alignment vertical="top"/>
    </xf>
    <xf numFmtId="0" fontId="49" fillId="0" borderId="0" xfId="0" applyFont="1" applyAlignment="1">
      <alignment vertical="top"/>
    </xf>
    <xf numFmtId="0" fontId="3" fillId="0" borderId="2" xfId="0" applyFont="1" applyBorder="1" applyAlignment="1">
      <alignment horizontal="center"/>
    </xf>
    <xf numFmtId="3" fontId="7" fillId="0" borderId="36" xfId="0" applyNumberFormat="1" applyFont="1" applyBorder="1"/>
    <xf numFmtId="3" fontId="75" fillId="0" borderId="1" xfId="0" applyNumberFormat="1" applyFont="1" applyBorder="1"/>
    <xf numFmtId="10" fontId="0" fillId="0" borderId="0" xfId="0" applyNumberFormat="1"/>
    <xf numFmtId="10" fontId="52" fillId="0" borderId="0" xfId="1" applyNumberFormat="1" applyFont="1"/>
    <xf numFmtId="169" fontId="66" fillId="0" borderId="0" xfId="2" applyNumberFormat="1" applyFont="1" applyBorder="1"/>
    <xf numFmtId="2" fontId="33" fillId="20" borderId="1" xfId="0" applyNumberFormat="1" applyFont="1" applyFill="1" applyBorder="1"/>
    <xf numFmtId="3" fontId="7" fillId="0" borderId="37" xfId="0" applyNumberFormat="1" applyFont="1" applyBorder="1"/>
    <xf numFmtId="3" fontId="7" fillId="0" borderId="1" xfId="0" applyNumberFormat="1" applyFont="1" applyBorder="1"/>
    <xf numFmtId="3" fontId="7" fillId="0" borderId="38" xfId="0" applyNumberFormat="1" applyFont="1" applyBorder="1"/>
    <xf numFmtId="3" fontId="33" fillId="0" borderId="1" xfId="0" applyNumberFormat="1" applyFont="1" applyBorder="1"/>
    <xf numFmtId="166" fontId="41" fillId="12" borderId="0" xfId="0" applyNumberFormat="1" applyFont="1" applyFill="1"/>
    <xf numFmtId="166" fontId="10" fillId="0" borderId="0" xfId="0" applyNumberFormat="1" applyFont="1" applyAlignment="1">
      <alignment horizontal="right" wrapText="1"/>
    </xf>
    <xf numFmtId="0" fontId="66" fillId="0" borderId="0" xfId="0" applyFont="1" applyAlignment="1">
      <alignment horizontal="center"/>
    </xf>
    <xf numFmtId="3" fontId="53" fillId="0" borderId="0" xfId="0" applyNumberFormat="1" applyFont="1"/>
    <xf numFmtId="3" fontId="33" fillId="0" borderId="0" xfId="0" applyNumberFormat="1" applyFont="1"/>
    <xf numFmtId="2" fontId="0" fillId="20" borderId="0" xfId="0" applyNumberFormat="1" applyFill="1"/>
    <xf numFmtId="2" fontId="33" fillId="20" borderId="0" xfId="0" applyNumberFormat="1" applyFont="1" applyFill="1"/>
    <xf numFmtId="3" fontId="41" fillId="0" borderId="0" xfId="0" applyNumberFormat="1" applyFont="1"/>
    <xf numFmtId="169" fontId="0" fillId="0" borderId="0" xfId="2" applyNumberFormat="1" applyFont="1" applyFill="1"/>
    <xf numFmtId="173" fontId="0" fillId="0" borderId="0" xfId="1" applyNumberFormat="1" applyFont="1" applyFill="1"/>
    <xf numFmtId="171" fontId="47" fillId="0" borderId="1" xfId="2" applyNumberFormat="1" applyFont="1" applyFill="1" applyBorder="1" applyAlignment="1">
      <alignment horizontal="right"/>
    </xf>
    <xf numFmtId="177" fontId="33" fillId="9" borderId="0" xfId="2" applyNumberFormat="1" applyFont="1" applyFill="1"/>
    <xf numFmtId="184" fontId="33" fillId="9" borderId="0" xfId="2" applyNumberFormat="1" applyFont="1" applyFill="1"/>
    <xf numFmtId="0" fontId="86" fillId="0" borderId="0" xfId="3" applyFont="1" applyAlignment="1" applyProtection="1"/>
    <xf numFmtId="179" fontId="46" fillId="0" borderId="39" xfId="2" applyNumberFormat="1" applyFont="1" applyBorder="1" applyAlignment="1">
      <alignment horizontal="right"/>
    </xf>
    <xf numFmtId="0" fontId="46" fillId="0" borderId="39" xfId="0" applyFont="1" applyBorder="1" applyAlignment="1">
      <alignment horizontal="left"/>
    </xf>
    <xf numFmtId="179" fontId="47" fillId="0" borderId="0" xfId="2" applyNumberFormat="1" applyFont="1" applyAlignment="1">
      <alignment horizontal="right"/>
    </xf>
    <xf numFmtId="0" fontId="47" fillId="0" borderId="0" xfId="0" applyFont="1" applyAlignment="1">
      <alignment horizontal="left"/>
    </xf>
    <xf numFmtId="179" fontId="47" fillId="0" borderId="0" xfId="2" applyNumberFormat="1" applyFont="1" applyAlignment="1">
      <alignment horizontal="left"/>
    </xf>
    <xf numFmtId="179" fontId="46" fillId="0" borderId="11" xfId="2" applyNumberFormat="1" applyFont="1" applyBorder="1" applyAlignment="1">
      <alignment horizontal="right"/>
    </xf>
    <xf numFmtId="0" fontId="46" fillId="0" borderId="11" xfId="0" applyFont="1" applyBorder="1" applyAlignment="1">
      <alignment horizontal="left"/>
    </xf>
    <xf numFmtId="0" fontId="46" fillId="0" borderId="11" xfId="0" applyFont="1" applyBorder="1"/>
    <xf numFmtId="0" fontId="46" fillId="0" borderId="9" xfId="0" applyFont="1" applyBorder="1" applyAlignment="1">
      <alignment horizontal="center"/>
    </xf>
    <xf numFmtId="0" fontId="46" fillId="0" borderId="9" xfId="0" applyFont="1" applyBorder="1" applyAlignment="1">
      <alignment horizontal="left"/>
    </xf>
    <xf numFmtId="173" fontId="46" fillId="0" borderId="11" xfId="1" applyNumberFormat="1" applyFont="1" applyBorder="1" applyAlignment="1">
      <alignment horizontal="right"/>
    </xf>
    <xf numFmtId="179" fontId="47" fillId="0" borderId="11" xfId="2" applyNumberFormat="1" applyFont="1" applyBorder="1" applyAlignment="1">
      <alignment horizontal="right"/>
    </xf>
    <xf numFmtId="0" fontId="47" fillId="0" borderId="11" xfId="0" applyFont="1" applyBorder="1" applyAlignment="1">
      <alignment horizontal="left"/>
    </xf>
    <xf numFmtId="174" fontId="47" fillId="0" borderId="0" xfId="2" applyNumberFormat="1" applyFont="1" applyAlignment="1">
      <alignment horizontal="right"/>
    </xf>
    <xf numFmtId="0" fontId="33" fillId="5" borderId="0" xfId="0" applyFont="1" applyFill="1"/>
    <xf numFmtId="0" fontId="46" fillId="0" borderId="0" xfId="0" applyFont="1" applyAlignment="1">
      <alignment horizontal="left"/>
    </xf>
    <xf numFmtId="172" fontId="47" fillId="0" borderId="0" xfId="0" applyNumberFormat="1" applyFont="1"/>
    <xf numFmtId="0" fontId="47" fillId="0" borderId="0" xfId="0" applyFont="1"/>
    <xf numFmtId="165" fontId="47" fillId="0" borderId="11" xfId="2" applyFont="1" applyBorder="1" applyAlignment="1">
      <alignment horizontal="right"/>
    </xf>
    <xf numFmtId="179" fontId="47" fillId="0" borderId="0" xfId="2" applyNumberFormat="1" applyFont="1" applyBorder="1" applyAlignment="1">
      <alignment horizontal="right"/>
    </xf>
    <xf numFmtId="179" fontId="46" fillId="0" borderId="0" xfId="2" applyNumberFormat="1" applyFont="1" applyAlignment="1">
      <alignment horizontal="right"/>
    </xf>
    <xf numFmtId="179" fontId="47" fillId="0" borderId="11" xfId="2" applyNumberFormat="1" applyFont="1" applyBorder="1" applyAlignment="1">
      <alignment horizontal="left"/>
    </xf>
    <xf numFmtId="179" fontId="47" fillId="0" borderId="0" xfId="2" applyNumberFormat="1" applyFont="1" applyBorder="1" applyAlignment="1">
      <alignment horizontal="left"/>
    </xf>
    <xf numFmtId="3" fontId="7" fillId="0" borderId="5" xfId="0" applyNumberFormat="1" applyFont="1" applyBorder="1"/>
    <xf numFmtId="181" fontId="0" fillId="0" borderId="0" xfId="6" applyNumberFormat="1" applyFont="1"/>
    <xf numFmtId="181" fontId="0" fillId="0" borderId="0" xfId="6" applyNumberFormat="1" applyFont="1" applyFill="1"/>
    <xf numFmtId="0" fontId="0" fillId="0" borderId="0" xfId="0" applyAlignment="1">
      <alignment horizontal="center"/>
    </xf>
    <xf numFmtId="181" fontId="0" fillId="9" borderId="0" xfId="6" applyNumberFormat="1" applyFont="1" applyFill="1"/>
    <xf numFmtId="180" fontId="0" fillId="9" borderId="0" xfId="6" applyNumberFormat="1" applyFont="1" applyFill="1"/>
    <xf numFmtId="180" fontId="0" fillId="0" borderId="0" xfId="6" applyNumberFormat="1" applyFont="1"/>
    <xf numFmtId="175" fontId="0" fillId="0" borderId="10" xfId="0" applyNumberFormat="1" applyBorder="1"/>
    <xf numFmtId="175" fontId="0" fillId="0" borderId="11" xfId="6" applyNumberFormat="1" applyFont="1" applyBorder="1"/>
    <xf numFmtId="175" fontId="0" fillId="0" borderId="11" xfId="0" applyNumberFormat="1" applyBorder="1"/>
    <xf numFmtId="175" fontId="0" fillId="0" borderId="16" xfId="0" applyNumberFormat="1" applyBorder="1"/>
    <xf numFmtId="9" fontId="0" fillId="0" borderId="10" xfId="1" applyFont="1" applyBorder="1"/>
    <xf numFmtId="9" fontId="0" fillId="0" borderId="11" xfId="1" applyFont="1" applyBorder="1"/>
    <xf numFmtId="9" fontId="0" fillId="0" borderId="16" xfId="1" applyFont="1" applyBorder="1"/>
    <xf numFmtId="1" fontId="0" fillId="0" borderId="10" xfId="0" applyNumberFormat="1" applyBorder="1"/>
    <xf numFmtId="1" fontId="0" fillId="0" borderId="11" xfId="6" applyNumberFormat="1" applyFont="1" applyBorder="1"/>
    <xf numFmtId="1" fontId="0" fillId="0" borderId="11" xfId="0" applyNumberFormat="1" applyBorder="1"/>
    <xf numFmtId="1" fontId="0" fillId="0" borderId="16" xfId="0" applyNumberFormat="1" applyBorder="1"/>
    <xf numFmtId="43" fontId="0" fillId="9" borderId="0" xfId="0" applyNumberFormat="1" applyFill="1"/>
    <xf numFmtId="0" fontId="0" fillId="0" borderId="8" xfId="0" applyBorder="1"/>
    <xf numFmtId="181" fontId="0" fillId="0" borderId="0" xfId="6" applyNumberFormat="1" applyFont="1" applyBorder="1"/>
    <xf numFmtId="0" fontId="0" fillId="0" borderId="15" xfId="0" applyBorder="1"/>
    <xf numFmtId="9" fontId="0" fillId="0" borderId="8" xfId="1" applyFont="1" applyBorder="1"/>
    <xf numFmtId="9" fontId="0" fillId="0" borderId="0" xfId="1" applyFont="1" applyBorder="1"/>
    <xf numFmtId="9" fontId="0" fillId="0" borderId="15" xfId="1" applyFont="1" applyBorder="1"/>
    <xf numFmtId="1" fontId="0" fillId="0" borderId="8" xfId="0" applyNumberFormat="1" applyBorder="1"/>
    <xf numFmtId="1" fontId="0" fillId="0" borderId="0" xfId="6" applyNumberFormat="1" applyFont="1" applyBorder="1"/>
    <xf numFmtId="1" fontId="0" fillId="0" borderId="15" xfId="0" applyNumberFormat="1" applyBorder="1"/>
    <xf numFmtId="0" fontId="33" fillId="9" borderId="7" xfId="0" applyFont="1" applyFill="1" applyBorder="1" applyAlignment="1">
      <alignment horizontal="center"/>
    </xf>
    <xf numFmtId="0" fontId="33" fillId="0" borderId="9" xfId="0" applyFont="1" applyBorder="1" applyAlignment="1">
      <alignment horizontal="center"/>
    </xf>
    <xf numFmtId="0" fontId="33" fillId="9" borderId="9" xfId="0" applyFont="1" applyFill="1" applyBorder="1" applyAlignment="1">
      <alignment horizontal="center"/>
    </xf>
    <xf numFmtId="0" fontId="33" fillId="9" borderId="14" xfId="0" applyFont="1" applyFill="1" applyBorder="1" applyAlignment="1">
      <alignment horizontal="center"/>
    </xf>
    <xf numFmtId="175" fontId="0" fillId="0" borderId="0" xfId="6" applyNumberFormat="1" applyFont="1" applyBorder="1"/>
    <xf numFmtId="20" fontId="0" fillId="0" borderId="0" xfId="1" applyNumberFormat="1" applyFont="1" applyBorder="1"/>
    <xf numFmtId="173" fontId="33" fillId="0" borderId="0" xfId="1" applyNumberFormat="1" applyFont="1" applyFill="1" applyBorder="1"/>
    <xf numFmtId="43" fontId="33" fillId="0" borderId="0" xfId="6" applyFont="1" applyFill="1" applyBorder="1"/>
    <xf numFmtId="43" fontId="33" fillId="0" borderId="0" xfId="0" applyNumberFormat="1" applyFont="1"/>
    <xf numFmtId="181" fontId="0" fillId="0" borderId="0" xfId="6" applyNumberFormat="1" applyFont="1" applyFill="1" applyBorder="1"/>
    <xf numFmtId="43" fontId="0" fillId="0" borderId="0" xfId="6" applyFont="1" applyFill="1" applyBorder="1"/>
    <xf numFmtId="194" fontId="0" fillId="0" borderId="0" xfId="0" applyNumberFormat="1"/>
    <xf numFmtId="181" fontId="0" fillId="9" borderId="0" xfId="6" applyNumberFormat="1" applyFont="1" applyFill="1" applyAlignment="1">
      <alignment horizontal="center"/>
    </xf>
    <xf numFmtId="0" fontId="87" fillId="8" borderId="0" xfId="0" applyFont="1" applyFill="1"/>
    <xf numFmtId="175" fontId="3" fillId="0" borderId="0" xfId="1" applyNumberFormat="1" applyFont="1"/>
    <xf numFmtId="175" fontId="10" fillId="4" borderId="1" xfId="0" applyNumberFormat="1" applyFont="1" applyFill="1" applyBorder="1"/>
    <xf numFmtId="175" fontId="12" fillId="4" borderId="1" xfId="0" applyNumberFormat="1" applyFont="1" applyFill="1" applyBorder="1"/>
    <xf numFmtId="171" fontId="42" fillId="4" borderId="5" xfId="0" applyNumberFormat="1" applyFont="1" applyFill="1" applyBorder="1"/>
    <xf numFmtId="165" fontId="42" fillId="4" borderId="5" xfId="2" applyFont="1" applyFill="1" applyBorder="1"/>
    <xf numFmtId="171" fontId="49" fillId="4" borderId="1" xfId="0" applyNumberFormat="1" applyFont="1" applyFill="1" applyBorder="1"/>
    <xf numFmtId="175" fontId="42" fillId="4" borderId="1" xfId="1" applyNumberFormat="1" applyFont="1" applyFill="1" applyBorder="1"/>
    <xf numFmtId="2" fontId="42" fillId="4" borderId="1" xfId="1" applyNumberFormat="1" applyFont="1" applyFill="1" applyBorder="1"/>
    <xf numFmtId="0" fontId="40" fillId="0" borderId="2" xfId="0" applyFont="1" applyBorder="1"/>
    <xf numFmtId="0" fontId="40" fillId="0" borderId="3" xfId="0" applyFont="1" applyBorder="1"/>
    <xf numFmtId="0" fontId="40" fillId="0" borderId="4" xfId="0" applyFont="1" applyBorder="1"/>
    <xf numFmtId="0" fontId="88" fillId="0" borderId="1" xfId="0" applyFont="1" applyBorder="1"/>
    <xf numFmtId="0" fontId="89" fillId="0" borderId="0" xfId="0" applyFont="1"/>
    <xf numFmtId="0" fontId="6" fillId="0" borderId="0" xfId="7"/>
    <xf numFmtId="10" fontId="41" fillId="21" borderId="0" xfId="1" applyNumberFormat="1" applyFont="1" applyFill="1" applyBorder="1"/>
    <xf numFmtId="10" fontId="0" fillId="21" borderId="0" xfId="1" applyNumberFormat="1" applyFont="1" applyFill="1" applyBorder="1"/>
    <xf numFmtId="10" fontId="33" fillId="5" borderId="0" xfId="1" applyNumberFormat="1" applyFont="1" applyFill="1" applyBorder="1"/>
    <xf numFmtId="10" fontId="71" fillId="5" borderId="0" xfId="1" applyNumberFormat="1" applyFont="1" applyFill="1" applyBorder="1"/>
    <xf numFmtId="10" fontId="33" fillId="22" borderId="0" xfId="1" applyNumberFormat="1" applyFont="1" applyFill="1" applyBorder="1"/>
    <xf numFmtId="10" fontId="71" fillId="22" borderId="0" xfId="1" applyNumberFormat="1" applyFont="1" applyFill="1" applyBorder="1"/>
    <xf numFmtId="173" fontId="33" fillId="16" borderId="0" xfId="1" applyNumberFormat="1" applyFont="1" applyFill="1" applyBorder="1"/>
    <xf numFmtId="174" fontId="41" fillId="16" borderId="0" xfId="2" applyNumberFormat="1" applyFont="1" applyFill="1" applyBorder="1"/>
    <xf numFmtId="173" fontId="33" fillId="23" borderId="0" xfId="1" applyNumberFormat="1" applyFont="1" applyFill="1" applyBorder="1"/>
    <xf numFmtId="174" fontId="0" fillId="15" borderId="0" xfId="2" applyNumberFormat="1" applyFont="1" applyFill="1" applyBorder="1"/>
    <xf numFmtId="174" fontId="41" fillId="15" borderId="0" xfId="2" applyNumberFormat="1" applyFont="1" applyFill="1" applyBorder="1"/>
    <xf numFmtId="165" fontId="5" fillId="0" borderId="0" xfId="2" applyFont="1"/>
    <xf numFmtId="0" fontId="0" fillId="0" borderId="14" xfId="0" applyBorder="1"/>
    <xf numFmtId="0" fontId="0" fillId="0" borderId="9" xfId="0" applyBorder="1"/>
    <xf numFmtId="0" fontId="0" fillId="0" borderId="7" xfId="0" applyBorder="1"/>
    <xf numFmtId="0" fontId="0" fillId="0" borderId="12" xfId="0" applyBorder="1"/>
    <xf numFmtId="167" fontId="10" fillId="0" borderId="15" xfId="0" applyNumberFormat="1" applyFont="1" applyBorder="1" applyAlignment="1">
      <alignment horizontal="center"/>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3" xfId="0" applyFont="1" applyBorder="1" applyAlignment="1">
      <alignment horizontal="left" vertical="center"/>
    </xf>
    <xf numFmtId="0" fontId="12" fillId="0" borderId="12" xfId="0" applyFont="1" applyBorder="1" applyAlignment="1">
      <alignment horizontal="left" vertical="center"/>
    </xf>
    <xf numFmtId="0" fontId="10" fillId="0" borderId="0" xfId="0" applyFont="1" applyAlignment="1">
      <alignment horizontal="left" vertical="center"/>
    </xf>
    <xf numFmtId="0" fontId="12" fillId="0" borderId="13" xfId="0" applyFont="1" applyBorder="1" applyAlignment="1">
      <alignment horizontal="left" vertical="center"/>
    </xf>
    <xf numFmtId="0" fontId="28" fillId="0" borderId="0" xfId="3" applyFont="1" applyAlignment="1" applyProtection="1">
      <alignment horizontal="left" vertical="center"/>
    </xf>
    <xf numFmtId="0" fontId="21" fillId="0" borderId="13" xfId="0" applyFont="1" applyBorder="1" applyAlignment="1">
      <alignment horizontal="left" vertical="center"/>
    </xf>
    <xf numFmtId="0" fontId="0" fillId="0" borderId="0" xfId="0" applyAlignment="1">
      <alignment horizontal="left" vertical="center"/>
    </xf>
    <xf numFmtId="0" fontId="82" fillId="4" borderId="1" xfId="2" applyNumberFormat="1" applyFont="1" applyFill="1" applyBorder="1" applyAlignment="1">
      <alignment horizontal="right"/>
    </xf>
    <xf numFmtId="169" fontId="70" fillId="4" borderId="1" xfId="2" applyNumberFormat="1" applyFont="1" applyFill="1" applyBorder="1"/>
    <xf numFmtId="174" fontId="78" fillId="4" borderId="1" xfId="2" applyNumberFormat="1" applyFont="1" applyFill="1" applyBorder="1"/>
    <xf numFmtId="169" fontId="78" fillId="4" borderId="1" xfId="2" applyNumberFormat="1" applyFont="1" applyFill="1" applyBorder="1"/>
    <xf numFmtId="169" fontId="90" fillId="4" borderId="1" xfId="2" applyNumberFormat="1" applyFont="1" applyFill="1" applyBorder="1"/>
    <xf numFmtId="0" fontId="91" fillId="2" borderId="0" xfId="0" applyFont="1" applyFill="1" applyAlignment="1">
      <alignment horizontal="left" vertical="top"/>
    </xf>
    <xf numFmtId="0" fontId="92" fillId="24" borderId="0" xfId="0" applyFont="1" applyFill="1" applyAlignment="1">
      <alignment horizontal="left" vertical="top"/>
    </xf>
    <xf numFmtId="0" fontId="91" fillId="24" borderId="0" xfId="0" applyFont="1" applyFill="1" applyAlignment="1">
      <alignment horizontal="left" vertical="top"/>
    </xf>
    <xf numFmtId="0" fontId="93" fillId="24" borderId="0" xfId="0" applyFont="1" applyFill="1" applyAlignment="1">
      <alignment horizontal="left" vertical="top" wrapText="1"/>
    </xf>
    <xf numFmtId="0" fontId="94" fillId="24" borderId="0" xfId="0" applyFont="1" applyFill="1" applyAlignment="1">
      <alignment horizontal="left" vertical="top" wrapText="1"/>
    </xf>
    <xf numFmtId="0" fontId="95" fillId="24" borderId="0" xfId="0" applyFont="1" applyFill="1" applyAlignment="1">
      <alignment horizontal="left" vertical="top"/>
    </xf>
    <xf numFmtId="0" fontId="95" fillId="24" borderId="0" xfId="0" applyFont="1" applyFill="1" applyAlignment="1">
      <alignment horizontal="left" vertical="top" wrapText="1"/>
    </xf>
    <xf numFmtId="0" fontId="96" fillId="24" borderId="0" xfId="0" applyFont="1" applyFill="1" applyAlignment="1">
      <alignment horizontal="left" vertical="top"/>
    </xf>
    <xf numFmtId="0" fontId="98" fillId="24" borderId="0" xfId="8" applyFont="1" applyFill="1" applyAlignment="1">
      <alignment horizontal="left" vertical="top"/>
    </xf>
    <xf numFmtId="164" fontId="36" fillId="0" borderId="0" xfId="0" applyNumberFormat="1" applyFont="1"/>
    <xf numFmtId="165" fontId="35" fillId="0" borderId="0" xfId="0" applyNumberFormat="1" applyFont="1"/>
    <xf numFmtId="0" fontId="2" fillId="0" borderId="1" xfId="0" applyFont="1" applyBorder="1"/>
    <xf numFmtId="0" fontId="88" fillId="5" borderId="1" xfId="0" applyFont="1" applyFill="1" applyBorder="1"/>
    <xf numFmtId="0" fontId="99" fillId="0" borderId="0" xfId="0" applyFont="1"/>
    <xf numFmtId="0" fontId="19" fillId="0" borderId="1" xfId="0" applyFont="1" applyBorder="1" applyAlignment="1">
      <alignment horizontal="center" vertical="top" wrapText="1"/>
    </xf>
    <xf numFmtId="0" fontId="24" fillId="25" borderId="1" xfId="0" applyFont="1" applyFill="1" applyBorder="1" applyAlignment="1">
      <alignment horizontal="left"/>
    </xf>
    <xf numFmtId="164" fontId="0" fillId="0" borderId="0" xfId="2" applyNumberFormat="1" applyFont="1" applyAlignment="1">
      <alignment horizontal="right"/>
    </xf>
    <xf numFmtId="175" fontId="2" fillId="0" borderId="1" xfId="0" applyNumberFormat="1" applyFont="1" applyBorder="1"/>
    <xf numFmtId="175" fontId="88" fillId="5" borderId="1" xfId="0" applyNumberFormat="1" applyFont="1" applyFill="1" applyBorder="1"/>
    <xf numFmtId="172" fontId="7" fillId="0" borderId="2" xfId="2" applyNumberFormat="1" applyFont="1" applyBorder="1" applyAlignment="1">
      <alignment horizontal="centerContinuous"/>
    </xf>
    <xf numFmtId="172" fontId="7" fillId="0" borderId="3" xfId="2" applyNumberFormat="1" applyFont="1" applyBorder="1" applyAlignment="1">
      <alignment horizontal="centerContinuous"/>
    </xf>
    <xf numFmtId="172" fontId="7" fillId="0" borderId="4" xfId="2" applyNumberFormat="1" applyFont="1" applyBorder="1" applyAlignment="1">
      <alignment horizontal="centerContinuous"/>
    </xf>
    <xf numFmtId="0" fontId="0" fillId="0" borderId="4" xfId="0" applyBorder="1" applyAlignment="1">
      <alignment horizontal="centerContinuous"/>
    </xf>
    <xf numFmtId="49" fontId="29" fillId="0" borderId="40" xfId="4" applyNumberFormat="1" applyFont="1" applyBorder="1" applyAlignment="1">
      <alignment horizontal="left"/>
    </xf>
    <xf numFmtId="49" fontId="30" fillId="0" borderId="41" xfId="4" applyNumberFormat="1" applyFont="1" applyBorder="1" applyAlignment="1">
      <alignment horizontal="left"/>
    </xf>
    <xf numFmtId="0" fontId="30" fillId="0" borderId="12" xfId="4" applyFont="1" applyBorder="1" applyAlignment="1">
      <alignment horizontal="left"/>
    </xf>
    <xf numFmtId="0" fontId="66" fillId="8" borderId="0" xfId="0" applyFont="1" applyFill="1" applyAlignment="1">
      <alignment horizontal="center"/>
    </xf>
    <xf numFmtId="175" fontId="41" fillId="5" borderId="0" xfId="0" applyNumberFormat="1" applyFont="1" applyFill="1"/>
    <xf numFmtId="43" fontId="41" fillId="5" borderId="0" xfId="0" applyNumberFormat="1" applyFont="1" applyFill="1"/>
    <xf numFmtId="174" fontId="100" fillId="4" borderId="1" xfId="2" applyNumberFormat="1" applyFont="1" applyFill="1" applyBorder="1"/>
    <xf numFmtId="179" fontId="41" fillId="16" borderId="0" xfId="2" applyNumberFormat="1" applyFont="1" applyFill="1" applyBorder="1"/>
    <xf numFmtId="9" fontId="5" fillId="0" borderId="0" xfId="1" applyFont="1"/>
    <xf numFmtId="167" fontId="46" fillId="0" borderId="1" xfId="2" applyNumberFormat="1" applyFont="1" applyBorder="1" applyAlignment="1">
      <alignment horizontal="right"/>
    </xf>
    <xf numFmtId="167" fontId="47" fillId="0" borderId="1" xfId="2" applyNumberFormat="1" applyFont="1" applyBorder="1" applyAlignment="1">
      <alignment horizontal="right"/>
    </xf>
    <xf numFmtId="0" fontId="4" fillId="4" borderId="6" xfId="0" applyFont="1" applyFill="1" applyBorder="1" applyAlignment="1">
      <alignment horizontal="center"/>
    </xf>
    <xf numFmtId="0" fontId="4" fillId="4" borderId="1" xfId="0" applyFont="1" applyFill="1" applyBorder="1" applyAlignment="1">
      <alignment horizontal="center"/>
    </xf>
    <xf numFmtId="0" fontId="36" fillId="0" borderId="6" xfId="0" applyFont="1" applyBorder="1" applyAlignment="1">
      <alignment horizontal="center"/>
    </xf>
    <xf numFmtId="0" fontId="43" fillId="0" borderId="6" xfId="0" applyFont="1" applyBorder="1" applyAlignment="1">
      <alignment horizontal="center"/>
    </xf>
    <xf numFmtId="0" fontId="62" fillId="4" borderId="6" xfId="0" applyFont="1" applyFill="1" applyBorder="1" applyAlignment="1">
      <alignment horizontal="center"/>
    </xf>
    <xf numFmtId="0" fontId="21" fillId="0" borderId="17" xfId="0" applyFont="1" applyBorder="1" applyAlignment="1">
      <alignment horizontal="left" vertical="center"/>
    </xf>
    <xf numFmtId="166" fontId="21" fillId="0" borderId="10" xfId="0" applyNumberFormat="1" applyFont="1" applyBorder="1" applyAlignment="1">
      <alignment horizontal="center" wrapText="1"/>
    </xf>
    <xf numFmtId="166" fontId="21" fillId="0" borderId="11" xfId="0" applyNumberFormat="1" applyFont="1" applyBorder="1" applyAlignment="1">
      <alignment horizontal="center" wrapText="1"/>
    </xf>
    <xf numFmtId="166" fontId="21" fillId="0" borderId="11" xfId="0" applyNumberFormat="1" applyFont="1" applyBorder="1" applyAlignment="1">
      <alignment horizontal="center"/>
    </xf>
    <xf numFmtId="166" fontId="21" fillId="0" borderId="10" xfId="0" applyNumberFormat="1" applyFont="1" applyBorder="1" applyAlignment="1">
      <alignment horizontal="center"/>
    </xf>
    <xf numFmtId="167" fontId="10" fillId="0" borderId="10" xfId="0" applyNumberFormat="1" applyFont="1" applyBorder="1" applyAlignment="1">
      <alignment horizontal="center" wrapText="1"/>
    </xf>
    <xf numFmtId="167" fontId="10" fillId="0" borderId="11" xfId="0" applyNumberFormat="1" applyFont="1" applyBorder="1" applyAlignment="1">
      <alignment horizontal="center" wrapText="1"/>
    </xf>
    <xf numFmtId="167" fontId="10" fillId="0" borderId="11" xfId="0" applyNumberFormat="1" applyFont="1" applyBorder="1" applyAlignment="1">
      <alignment horizontal="center"/>
    </xf>
    <xf numFmtId="167" fontId="10" fillId="0" borderId="10" xfId="0" applyNumberFormat="1" applyFont="1" applyBorder="1" applyAlignment="1">
      <alignment horizontal="center"/>
    </xf>
    <xf numFmtId="0" fontId="42" fillId="2" borderId="1" xfId="0" applyFont="1" applyFill="1" applyBorder="1" applyAlignment="1">
      <alignment horizontal="left" indent="4"/>
    </xf>
    <xf numFmtId="175" fontId="10" fillId="0" borderId="0" xfId="2" applyNumberFormat="1" applyFont="1" applyFill="1"/>
    <xf numFmtId="175" fontId="10" fillId="0" borderId="1" xfId="2" applyNumberFormat="1" applyFont="1" applyFill="1" applyBorder="1"/>
    <xf numFmtId="175" fontId="0" fillId="0" borderId="1" xfId="0" applyNumberFormat="1" applyBorder="1"/>
    <xf numFmtId="175" fontId="13" fillId="3" borderId="1" xfId="0" applyNumberFormat="1" applyFont="1" applyFill="1" applyBorder="1"/>
    <xf numFmtId="175" fontId="10" fillId="0" borderId="1" xfId="2" applyNumberFormat="1" applyFont="1" applyFill="1" applyBorder="1" applyAlignment="1">
      <alignment horizontal="center"/>
    </xf>
    <xf numFmtId="175" fontId="0" fillId="0" borderId="1" xfId="0" applyNumberFormat="1" applyBorder="1" applyAlignment="1">
      <alignment horizontal="center"/>
    </xf>
    <xf numFmtId="175" fontId="10" fillId="0" borderId="1" xfId="0" applyNumberFormat="1" applyFont="1" applyBorder="1" applyAlignment="1">
      <alignment horizontal="center"/>
    </xf>
    <xf numFmtId="175" fontId="10" fillId="0" borderId="1" xfId="0" applyNumberFormat="1" applyFont="1" applyBorder="1" applyAlignment="1">
      <alignment horizontal="right"/>
    </xf>
    <xf numFmtId="167" fontId="42" fillId="4" borderId="1" xfId="0" applyNumberFormat="1" applyFont="1" applyFill="1" applyBorder="1"/>
    <xf numFmtId="0" fontId="42" fillId="21" borderId="1" xfId="0" applyFont="1" applyFill="1" applyBorder="1" applyAlignment="1">
      <alignment horizontal="left" indent="3"/>
    </xf>
    <xf numFmtId="171" fontId="42" fillId="21" borderId="1" xfId="0" applyNumberFormat="1" applyFont="1" applyFill="1" applyBorder="1"/>
    <xf numFmtId="171" fontId="5" fillId="21" borderId="1" xfId="0" applyNumberFormat="1" applyFont="1" applyFill="1" applyBorder="1"/>
    <xf numFmtId="175" fontId="10" fillId="0" borderId="5" xfId="2" applyNumberFormat="1" applyFont="1" applyBorder="1"/>
    <xf numFmtId="175" fontId="13" fillId="4" borderId="5" xfId="2" applyNumberFormat="1" applyFont="1" applyFill="1" applyBorder="1"/>
    <xf numFmtId="175" fontId="13" fillId="0" borderId="5" xfId="2" applyNumberFormat="1" applyFont="1" applyBorder="1"/>
    <xf numFmtId="175" fontId="21" fillId="0" borderId="0" xfId="0" applyNumberFormat="1" applyFont="1"/>
    <xf numFmtId="175" fontId="21" fillId="0" borderId="0" xfId="1" applyNumberFormat="1" applyFont="1"/>
    <xf numFmtId="175" fontId="10" fillId="0" borderId="1" xfId="2" applyNumberFormat="1" applyFont="1" applyBorder="1"/>
    <xf numFmtId="175" fontId="13" fillId="0" borderId="1" xfId="2" applyNumberFormat="1" applyFont="1" applyBorder="1"/>
    <xf numFmtId="175" fontId="13" fillId="4" borderId="1" xfId="2" applyNumberFormat="1" applyFont="1" applyFill="1" applyBorder="1"/>
    <xf numFmtId="175" fontId="10" fillId="20" borderId="5" xfId="2" applyNumberFormat="1" applyFont="1" applyFill="1" applyBorder="1"/>
    <xf numFmtId="0" fontId="10" fillId="20" borderId="1" xfId="0" applyFont="1" applyFill="1" applyBorder="1"/>
    <xf numFmtId="167" fontId="10" fillId="0" borderId="17" xfId="0" applyNumberFormat="1" applyFont="1" applyBorder="1" applyAlignment="1">
      <alignment horizontal="center" wrapText="1"/>
    </xf>
    <xf numFmtId="167" fontId="10" fillId="0" borderId="16" xfId="0" applyNumberFormat="1" applyFont="1" applyBorder="1" applyAlignment="1">
      <alignment horizontal="center" wrapText="1"/>
    </xf>
    <xf numFmtId="49" fontId="29" fillId="0" borderId="26" xfId="4" applyNumberFormat="1" applyFont="1" applyBorder="1" applyAlignment="1">
      <alignment horizontal="left"/>
    </xf>
    <xf numFmtId="0" fontId="33" fillId="0" borderId="2" xfId="0" applyFont="1" applyBorder="1"/>
    <xf numFmtId="0" fontId="0" fillId="0" borderId="4" xfId="0" applyBorder="1"/>
    <xf numFmtId="164" fontId="9" fillId="0" borderId="0" xfId="0" applyNumberFormat="1" applyFont="1"/>
    <xf numFmtId="173" fontId="10" fillId="0" borderId="0" xfId="1" applyNumberFormat="1" applyFont="1" applyFill="1"/>
    <xf numFmtId="0" fontId="46" fillId="0" borderId="0" xfId="0" applyFont="1" applyAlignment="1">
      <alignment horizontal="center"/>
    </xf>
    <xf numFmtId="0" fontId="46" fillId="0" borderId="0" xfId="0" applyFont="1"/>
    <xf numFmtId="179" fontId="46" fillId="0" borderId="0" xfId="2" applyNumberFormat="1" applyFont="1" applyBorder="1" applyAlignment="1">
      <alignment horizontal="right"/>
    </xf>
    <xf numFmtId="165" fontId="47" fillId="0" borderId="0" xfId="2" applyFont="1" applyBorder="1" applyAlignment="1">
      <alignment horizontal="right"/>
    </xf>
    <xf numFmtId="173" fontId="46" fillId="0" borderId="0" xfId="1" applyNumberFormat="1" applyFont="1" applyBorder="1" applyAlignment="1">
      <alignment horizontal="right"/>
    </xf>
    <xf numFmtId="0" fontId="7" fillId="0" borderId="0" xfId="0" applyFont="1" applyAlignment="1">
      <alignment horizontal="center"/>
    </xf>
    <xf numFmtId="171" fontId="7" fillId="0" borderId="0" xfId="0" applyNumberFormat="1" applyFont="1"/>
    <xf numFmtId="171" fontId="46" fillId="0" borderId="0" xfId="2" applyNumberFormat="1" applyFont="1" applyBorder="1" applyAlignment="1">
      <alignment horizontal="right"/>
    </xf>
    <xf numFmtId="171" fontId="47" fillId="0" borderId="0" xfId="2" applyNumberFormat="1" applyFont="1" applyFill="1" applyBorder="1" applyAlignment="1">
      <alignment horizontal="right"/>
    </xf>
    <xf numFmtId="195" fontId="0" fillId="16" borderId="0" xfId="0" applyNumberFormat="1" applyFill="1"/>
    <xf numFmtId="10" fontId="10" fillId="0" borderId="0" xfId="1" applyNumberFormat="1" applyFont="1"/>
    <xf numFmtId="173" fontId="46" fillId="0" borderId="0" xfId="1" applyNumberFormat="1" applyFont="1" applyAlignment="1">
      <alignment horizontal="right"/>
    </xf>
    <xf numFmtId="169" fontId="10" fillId="0" borderId="0" xfId="2" applyNumberFormat="1" applyFont="1"/>
    <xf numFmtId="0" fontId="1" fillId="0" borderId="0" xfId="0" applyFont="1" applyAlignment="1">
      <alignment horizontal="left" vertical="top" wrapText="1"/>
    </xf>
    <xf numFmtId="0" fontId="3" fillId="0" borderId="1" xfId="0" applyFont="1" applyBorder="1"/>
    <xf numFmtId="0" fontId="3" fillId="0" borderId="2" xfId="0" applyFont="1" applyBorder="1"/>
    <xf numFmtId="0" fontId="19" fillId="0" borderId="6" xfId="0" applyFont="1" applyBorder="1" applyAlignment="1">
      <alignment vertical="center"/>
    </xf>
    <xf numFmtId="0" fontId="19" fillId="0" borderId="5" xfId="0" applyFont="1" applyBorder="1" applyAlignment="1">
      <alignment vertical="center"/>
    </xf>
    <xf numFmtId="0" fontId="2" fillId="0" borderId="30" xfId="0" applyFont="1" applyBorder="1" applyAlignment="1">
      <alignment horizontal="left" vertical="top" wrapText="1"/>
    </xf>
    <xf numFmtId="0" fontId="10" fillId="0" borderId="14" xfId="0" applyFont="1" applyBorder="1" applyAlignment="1">
      <alignment horizontal="center" vertical="top" wrapText="1"/>
    </xf>
    <xf numFmtId="0" fontId="10" fillId="0" borderId="16" xfId="0" applyFont="1" applyBorder="1" applyAlignment="1">
      <alignment horizontal="center" vertical="top" wrapText="1"/>
    </xf>
    <xf numFmtId="0" fontId="10" fillId="0" borderId="11" xfId="0" applyFont="1" applyBorder="1" applyAlignment="1">
      <alignment horizontal="center"/>
    </xf>
    <xf numFmtId="0" fontId="10" fillId="0" borderId="10" xfId="0" applyFont="1" applyBorder="1" applyAlignment="1">
      <alignment horizontal="center"/>
    </xf>
    <xf numFmtId="0" fontId="13" fillId="0" borderId="11" xfId="0" applyFont="1" applyBorder="1" applyAlignment="1">
      <alignment horizontal="left" vertical="top"/>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1" xfId="0" applyFont="1" applyBorder="1" applyAlignment="1">
      <alignment horizontal="center" vertical="top" wrapText="1"/>
    </xf>
    <xf numFmtId="0" fontId="10" fillId="0" borderId="10" xfId="0" applyFont="1" applyBorder="1" applyAlignment="1">
      <alignment horizontal="center" vertical="top" wrapText="1"/>
    </xf>
    <xf numFmtId="0" fontId="10" fillId="0" borderId="12" xfId="0" applyFont="1" applyBorder="1" applyAlignment="1">
      <alignment horizontal="center" vertical="center" wrapText="1"/>
    </xf>
    <xf numFmtId="0" fontId="10" fillId="0" borderId="17" xfId="0" applyFont="1" applyBorder="1" applyAlignment="1">
      <alignment horizontal="center" vertical="center" wrapText="1"/>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9" fillId="0" borderId="6" xfId="0" applyFont="1" applyBorder="1" applyAlignment="1">
      <alignment horizontal="left" vertical="center"/>
    </xf>
    <xf numFmtId="0" fontId="9" fillId="0" borderId="5" xfId="0" applyFont="1" applyBorder="1" applyAlignment="1">
      <alignment horizontal="left" vertical="center"/>
    </xf>
    <xf numFmtId="0" fontId="12" fillId="0" borderId="6" xfId="0" applyFont="1" applyBorder="1" applyAlignment="1">
      <alignment horizontal="left" vertical="center"/>
    </xf>
    <xf numFmtId="0" fontId="12" fillId="0" borderId="5" xfId="0" applyFont="1" applyBorder="1" applyAlignment="1">
      <alignment horizontal="left" vertical="center"/>
    </xf>
    <xf numFmtId="0" fontId="19" fillId="0" borderId="6" xfId="0"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left" vertical="center"/>
    </xf>
    <xf numFmtId="0" fontId="19" fillId="0" borderId="5" xfId="0" applyFont="1" applyBorder="1" applyAlignment="1">
      <alignment horizontal="left" vertical="center"/>
    </xf>
    <xf numFmtId="0" fontId="19" fillId="0" borderId="2" xfId="0" applyFont="1" applyBorder="1" applyAlignment="1">
      <alignment horizontal="center" vertical="top"/>
    </xf>
    <xf numFmtId="0" fontId="19" fillId="0" borderId="3" xfId="0" applyFont="1" applyBorder="1" applyAlignment="1">
      <alignment horizontal="center" vertical="top"/>
    </xf>
    <xf numFmtId="0" fontId="19" fillId="0" borderId="4" xfId="0" applyFont="1" applyBorder="1" applyAlignment="1">
      <alignment horizontal="center" vertical="top"/>
    </xf>
    <xf numFmtId="0" fontId="13" fillId="0" borderId="0" xfId="0" applyFont="1" applyAlignment="1">
      <alignment horizontal="left" vertical="top" wrapText="1"/>
    </xf>
    <xf numFmtId="0" fontId="7" fillId="0" borderId="35" xfId="0" applyFont="1" applyBorder="1" applyAlignment="1">
      <alignment horizontal="left" vertical="center"/>
    </xf>
    <xf numFmtId="0" fontId="7" fillId="0" borderId="5" xfId="0" applyFont="1" applyBorder="1" applyAlignment="1">
      <alignment horizontal="left" vertical="center"/>
    </xf>
    <xf numFmtId="179" fontId="33" fillId="0" borderId="1" xfId="2" applyNumberFormat="1" applyFont="1" applyBorder="1" applyAlignment="1">
      <alignment horizontal="center" wrapText="1"/>
    </xf>
    <xf numFmtId="179" fontId="33" fillId="0" borderId="1" xfId="2" applyNumberFormat="1" applyFont="1" applyBorder="1" applyAlignment="1">
      <alignment horizontal="center"/>
    </xf>
    <xf numFmtId="179" fontId="33" fillId="0" borderId="2" xfId="2" applyNumberFormat="1" applyFont="1" applyBorder="1" applyAlignment="1">
      <alignment horizontal="center"/>
    </xf>
    <xf numFmtId="179" fontId="33" fillId="0" borderId="3" xfId="2" applyNumberFormat="1" applyFont="1" applyBorder="1" applyAlignment="1">
      <alignment horizontal="center"/>
    </xf>
    <xf numFmtId="179" fontId="33" fillId="0" borderId="4" xfId="2" applyNumberFormat="1" applyFont="1" applyBorder="1" applyAlignment="1">
      <alignment horizontal="center"/>
    </xf>
    <xf numFmtId="0" fontId="12" fillId="0" borderId="9" xfId="0" applyFont="1" applyBorder="1" applyAlignment="1">
      <alignment horizontal="justify" vertical="center"/>
    </xf>
    <xf numFmtId="0" fontId="12" fillId="0" borderId="11" xfId="0" applyFont="1" applyBorder="1" applyAlignment="1">
      <alignment horizontal="justify" vertical="center"/>
    </xf>
    <xf numFmtId="0" fontId="28" fillId="0" borderId="0" xfId="3" applyFont="1" applyBorder="1" applyAlignment="1" applyProtection="1">
      <alignment horizontal="left" vertical="top"/>
    </xf>
    <xf numFmtId="4" fontId="5" fillId="0" borderId="0" xfId="0" applyNumberFormat="1" applyFont="1" applyAlignment="1">
      <alignment horizontal="right" vertical="center"/>
    </xf>
    <xf numFmtId="171" fontId="5" fillId="0" borderId="0" xfId="0" applyNumberFormat="1" applyFont="1" applyAlignment="1">
      <alignment horizontal="right" vertical="center"/>
    </xf>
    <xf numFmtId="0" fontId="3" fillId="0" borderId="0" xfId="0" applyFont="1"/>
    <xf numFmtId="0" fontId="3" fillId="0" borderId="0" xfId="0" applyFont="1" applyAlignment="1">
      <alignment horizontal="center"/>
    </xf>
    <xf numFmtId="0" fontId="28" fillId="0" borderId="0" xfId="3" applyFont="1" applyAlignment="1" applyProtection="1">
      <alignment horizontal="left" vertical="top"/>
    </xf>
    <xf numFmtId="0" fontId="46" fillId="0" borderId="1" xfId="0" applyFont="1" applyBorder="1" applyAlignment="1">
      <alignment horizontal="left"/>
    </xf>
    <xf numFmtId="0" fontId="7" fillId="0" borderId="1" xfId="0" applyFont="1" applyBorder="1" applyAlignment="1">
      <alignment vertical="top"/>
    </xf>
    <xf numFmtId="0" fontId="46" fillId="0" borderId="9" xfId="0" applyFont="1" applyBorder="1" applyAlignment="1">
      <alignment horizontal="left"/>
    </xf>
    <xf numFmtId="0" fontId="46" fillId="0" borderId="11" xfId="0" applyFont="1" applyBorder="1" applyAlignment="1">
      <alignment horizontal="left"/>
    </xf>
  </cellXfs>
  <cellStyles count="9">
    <cellStyle name="Collegamento ipertestuale" xfId="3" builtinId="8"/>
    <cellStyle name="Collegamento ipertestuale 2" xfId="8" xr:uid="{8FFFC4C5-40C4-49F2-83B2-D0DDD5013AEC}"/>
    <cellStyle name="Migliaia" xfId="2" builtinId="3"/>
    <cellStyle name="Migliaia 2" xfId="6" xr:uid="{51EE0CDB-FB76-4322-B6CC-D7B8B0C62EED}"/>
    <cellStyle name="Normale" xfId="0" builtinId="0"/>
    <cellStyle name="Normale 2" xfId="4" xr:uid="{00000000-0005-0000-0000-000003000000}"/>
    <cellStyle name="Normale 2 2" xfId="5" xr:uid="{00000000-0005-0000-0000-000004000000}"/>
    <cellStyle name="Normale 4" xfId="7" xr:uid="{6184E8EE-C7C1-4EC1-8657-E1CCC98696FB}"/>
    <cellStyle name="Percentual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56682989152"/>
          <c:h val="0.72432435895314162"/>
        </c:manualLayout>
      </c:layout>
      <c:lineChart>
        <c:grouping val="standard"/>
        <c:varyColors val="0"/>
        <c:ser>
          <c:idx val="2"/>
          <c:order val="0"/>
          <c:tx>
            <c:v> solidi</c:v>
          </c:tx>
          <c:spPr>
            <a:ln w="28575">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0.14795475530932592</c:v>
              </c:pt>
              <c:pt idx="1">
                <c:v>0.12851613833957348</c:v>
              </c:pt>
              <c:pt idx="2">
                <c:v>9.4380651833779736E-2</c:v>
              </c:pt>
              <c:pt idx="3">
                <c:v>7.4770423963878244E-2</c:v>
              </c:pt>
              <c:pt idx="4">
                <c:v>8.5655358830642153E-2</c:v>
              </c:pt>
              <c:pt idx="5">
                <c:v>9.9888897308896538E-2</c:v>
              </c:pt>
              <c:pt idx="6">
                <c:v>9.033198230835035E-2</c:v>
              </c:pt>
              <c:pt idx="7">
                <c:v>8.15923025349366E-2</c:v>
              </c:pt>
              <c:pt idx="8">
                <c:v>8.9728785114359833E-2</c:v>
              </c:pt>
              <c:pt idx="9">
                <c:v>8.9633635876340809E-2</c:v>
              </c:pt>
              <c:pt idx="10">
                <c:v>9.4967400140903976E-2</c:v>
              </c:pt>
              <c:pt idx="11">
                <c:v>0.11372409309247099</c:v>
              </c:pt>
              <c:pt idx="12">
                <c:v>0.12425475888680748</c:v>
              </c:pt>
              <c:pt idx="13">
                <c:v>0.13206916064473079</c:v>
              </c:pt>
              <c:pt idx="14">
                <c:v>0.15005198646308107</c:v>
              </c:pt>
              <c:pt idx="15">
                <c:v>0.14358446337626965</c:v>
              </c:pt>
              <c:pt idx="16">
                <c:v>0.14073281508606977</c:v>
              </c:pt>
              <c:pt idx="17">
                <c:v>0.14053492999727926</c:v>
              </c:pt>
              <c:pt idx="18">
                <c:v>0.13497275088240016</c:v>
              </c:pt>
              <c:pt idx="19">
                <c:v>0.13581481301765361</c:v>
              </c:pt>
              <c:pt idx="20">
                <c:v>0.13154249616502678</c:v>
              </c:pt>
              <c:pt idx="21">
                <c:v>0.14781522904684594</c:v>
              </c:pt>
              <c:pt idx="22">
                <c:v>0.16420082853230564</c:v>
              </c:pt>
              <c:pt idx="23">
                <c:v>0.15563765705016391</c:v>
              </c:pt>
              <c:pt idx="24">
                <c:v>0.15529063904209797</c:v>
              </c:pt>
              <c:pt idx="25">
                <c:v>0.15265806082745953</c:v>
              </c:pt>
              <c:pt idx="26">
                <c:v>0.12288339438213025</c:v>
              </c:pt>
              <c:pt idx="27">
                <c:v>0.11029113644724294</c:v>
              </c:pt>
              <c:pt idx="28">
                <c:v>9.8270750280906358E-2</c:v>
              </c:pt>
              <c:pt idx="29">
                <c:v>6.4111773457795979E-2</c:v>
              </c:pt>
              <c:pt idx="30">
                <c:v>4.7693432182796015E-2</c:v>
              </c:pt>
              <c:pt idx="31">
                <c:v>4.8507083769751588E-2</c:v>
              </c:pt>
              <c:pt idx="32">
                <c:v>7.9611702259673026E-2</c:v>
              </c:pt>
              <c:pt idx="33">
                <c:v>4.9941346304237196E-2</c:v>
              </c:pt>
              <c:pt idx="34">
                <c:v>1.4088523729296089E-2</c:v>
              </c:pt>
            </c:numLit>
          </c:val>
          <c:smooth val="1"/>
          <c:extLst>
            <c:ext xmlns:c16="http://schemas.microsoft.com/office/drawing/2014/chart" uri="{C3380CC4-5D6E-409C-BE32-E72D297353CC}">
              <c16:uniqueId val="{00000000-C643-41E7-99B5-63A7395BFA81}"/>
            </c:ext>
          </c:extLst>
        </c:ser>
        <c:ser>
          <c:idx val="3"/>
          <c:order val="1"/>
          <c:tx>
            <c:v> gas naturale</c:v>
          </c:tx>
          <c:spPr>
            <a:ln w="28575">
              <a:solidFill>
                <a:schemeClr val="accent1"/>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0.18332871652816252</c:v>
              </c:pt>
              <c:pt idx="1">
                <c:v>0.16383812746121232</c:v>
              </c:pt>
              <c:pt idx="2">
                <c:v>0.15679722789431347</c:v>
              </c:pt>
              <c:pt idx="3">
                <c:v>0.17936553531835442</c:v>
              </c:pt>
              <c:pt idx="4">
                <c:v>0.17602141729076967</c:v>
              </c:pt>
              <c:pt idx="5">
                <c:v>0.1946181243563353</c:v>
              </c:pt>
              <c:pt idx="6">
                <c:v>0.20533752373362374</c:v>
              </c:pt>
              <c:pt idx="7">
                <c:v>0.24373900961467343</c:v>
              </c:pt>
              <c:pt idx="8">
                <c:v>0.27284309876286594</c:v>
              </c:pt>
              <c:pt idx="9">
                <c:v>0.32742325505760761</c:v>
              </c:pt>
              <c:pt idx="10">
                <c:v>0.36639371491633782</c:v>
              </c:pt>
              <c:pt idx="11">
                <c:v>0.37342038919230452</c:v>
              </c:pt>
              <c:pt idx="12">
                <c:v>0.34848189547835651</c:v>
              </c:pt>
              <c:pt idx="13">
                <c:v>0.39914061301078418</c:v>
              </c:pt>
              <c:pt idx="14">
                <c:v>0.42779914303101191</c:v>
              </c:pt>
              <c:pt idx="15">
                <c:v>0.49147063578641798</c:v>
              </c:pt>
              <c:pt idx="16">
                <c:v>0.50323870052135633</c:v>
              </c:pt>
              <c:pt idx="17">
                <c:v>0.55002424433189179</c:v>
              </c:pt>
              <c:pt idx="18">
                <c:v>0.54115067984918985</c:v>
              </c:pt>
              <c:pt idx="19">
                <c:v>0.50324218005170807</c:v>
              </c:pt>
              <c:pt idx="20">
                <c:v>0.50564738215402616</c:v>
              </c:pt>
              <c:pt idx="21">
                <c:v>0.4777175631235408</c:v>
              </c:pt>
              <c:pt idx="22">
                <c:v>0.43123409078302921</c:v>
              </c:pt>
              <c:pt idx="23">
                <c:v>0.37568714568713535</c:v>
              </c:pt>
              <c:pt idx="24">
                <c:v>0.33462424444712863</c:v>
              </c:pt>
              <c:pt idx="25">
                <c:v>0.39174024599116802</c:v>
              </c:pt>
              <c:pt idx="26">
                <c:v>0.43534142117734104</c:v>
              </c:pt>
              <c:pt idx="27">
                <c:v>0.4743700351923692</c:v>
              </c:pt>
              <c:pt idx="28">
                <c:v>0.44350639563290067</c:v>
              </c:pt>
              <c:pt idx="29">
                <c:v>0.48216935633586394</c:v>
              </c:pt>
              <c:pt idx="30">
                <c:v>0.47653477476337064</c:v>
              </c:pt>
              <c:pt idx="31">
                <c:v>0.49814299727081174</c:v>
              </c:pt>
              <c:pt idx="32">
                <c:v>0.49811453505098158</c:v>
              </c:pt>
              <c:pt idx="33">
                <c:v>0.44950063939437052</c:v>
              </c:pt>
              <c:pt idx="34">
                <c:v>0.45114156206598716</c:v>
              </c:pt>
            </c:numLit>
          </c:val>
          <c:smooth val="1"/>
          <c:extLst>
            <c:ext xmlns:c16="http://schemas.microsoft.com/office/drawing/2014/chart" uri="{C3380CC4-5D6E-409C-BE32-E72D297353CC}">
              <c16:uniqueId val="{00000001-C643-41E7-99B5-63A7395BFA81}"/>
            </c:ext>
          </c:extLst>
        </c:ser>
        <c:ser>
          <c:idx val="4"/>
          <c:order val="2"/>
          <c:tx>
            <c:v> gas derivati </c:v>
          </c:tx>
          <c:spPr>
            <a:ln w="28575">
              <a:solidFill>
                <a:srgbClr val="7030A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1.7151431209602955E-2</c:v>
              </c:pt>
              <c:pt idx="1">
                <c:v>1.6527174488822967E-2</c:v>
              </c:pt>
              <c:pt idx="2">
                <c:v>1.6136731284308786E-2</c:v>
              </c:pt>
              <c:pt idx="3">
                <c:v>1.5870593621242178E-2</c:v>
              </c:pt>
              <c:pt idx="4">
                <c:v>1.3321099318544671E-2</c:v>
              </c:pt>
              <c:pt idx="5">
                <c:v>1.4269842472699506E-2</c:v>
              </c:pt>
              <c:pt idx="6">
                <c:v>1.3267509901538957E-2</c:v>
              </c:pt>
              <c:pt idx="7">
                <c:v>1.690461439107201E-2</c:v>
              </c:pt>
              <c:pt idx="8">
                <c:v>1.738300345658483E-2</c:v>
              </c:pt>
              <c:pt idx="9">
                <c:v>1.6611508278275323E-2</c:v>
              </c:pt>
              <c:pt idx="10">
                <c:v>1.5370028372378339E-2</c:v>
              </c:pt>
              <c:pt idx="11">
                <c:v>1.8081879913379017E-2</c:v>
              </c:pt>
              <c:pt idx="12">
                <c:v>1.7600449808747153E-2</c:v>
              </c:pt>
              <c:pt idx="13">
                <c:v>1.804794342255564E-2</c:v>
              </c:pt>
              <c:pt idx="14">
                <c:v>1.766616713070986E-2</c:v>
              </c:pt>
              <c:pt idx="15">
                <c:v>1.9141390177541562E-2</c:v>
              </c:pt>
              <c:pt idx="16">
                <c:v>1.983013654846558E-2</c:v>
              </c:pt>
              <c:pt idx="17">
                <c:v>1.7914363030356706E-2</c:v>
              </c:pt>
              <c:pt idx="18">
                <c:v>1.7286707343975614E-2</c:v>
              </c:pt>
              <c:pt idx="19">
                <c:v>1.2543286589170543E-2</c:v>
              </c:pt>
              <c:pt idx="20">
                <c:v>1.5557729060198488E-2</c:v>
              </c:pt>
              <c:pt idx="21">
                <c:v>1.7890778538706697E-2</c:v>
              </c:pt>
              <c:pt idx="22">
                <c:v>1.6606064899246917E-2</c:v>
              </c:pt>
              <c:pt idx="23">
                <c:v>1.1697565146638812E-2</c:v>
              </c:pt>
              <c:pt idx="24">
                <c:v>1.0969587768495099E-2</c:v>
              </c:pt>
              <c:pt idx="25">
                <c:v>7.7291418648953213E-3</c:v>
              </c:pt>
              <c:pt idx="26">
                <c:v>9.6518527567897375E-3</c:v>
              </c:pt>
              <c:pt idx="27">
                <c:v>8.3451788595844921E-3</c:v>
              </c:pt>
              <c:pt idx="28">
                <c:v>8.5803316469331235E-3</c:v>
              </c:pt>
              <c:pt idx="29">
                <c:v>8.2127743700041896E-3</c:v>
              </c:pt>
              <c:pt idx="30">
                <c:v>5.9297692342850901E-3</c:v>
              </c:pt>
              <c:pt idx="31">
                <c:v>6.6215468887028395E-3</c:v>
              </c:pt>
              <c:pt idx="32">
                <c:v>5.597179406045814E-3</c:v>
              </c:pt>
              <c:pt idx="33">
                <c:v>4.3691065302383127E-3</c:v>
              </c:pt>
              <c:pt idx="34">
                <c:v>4.0422468193867809E-3</c:v>
              </c:pt>
            </c:numLit>
          </c:val>
          <c:smooth val="1"/>
          <c:extLst>
            <c:ext xmlns:c16="http://schemas.microsoft.com/office/drawing/2014/chart" uri="{C3380CC4-5D6E-409C-BE32-E72D297353CC}">
              <c16:uniqueId val="{00000002-C643-41E7-99B5-63A7395BFA81}"/>
            </c:ext>
          </c:extLst>
        </c:ser>
        <c:ser>
          <c:idx val="5"/>
          <c:order val="3"/>
          <c:tx>
            <c:v> prodotti petroliferi</c:v>
          </c:tx>
          <c:spPr>
            <a:ln w="28575">
              <a:solidFill>
                <a:schemeClr val="tx1">
                  <a:lumMod val="50000"/>
                  <a:lumOff val="50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0.47423361034164357</c:v>
              </c:pt>
              <c:pt idx="1">
                <c:v>0.47014987613635595</c:v>
              </c:pt>
              <c:pt idx="2">
                <c:v>0.51278651427157085</c:v>
              </c:pt>
              <c:pt idx="3">
                <c:v>0.51130151434906335</c:v>
              </c:pt>
              <c:pt idx="4">
                <c:v>0.50174990412518383</c:v>
              </c:pt>
              <c:pt idx="5">
                <c:v>0.50023127414454449</c:v>
              </c:pt>
              <c:pt idx="6">
                <c:v>0.47902133806703467</c:v>
              </c:pt>
              <c:pt idx="7">
                <c:v>0.45059883930396416</c:v>
              </c:pt>
              <c:pt idx="8">
                <c:v>0.41303879227387846</c:v>
              </c:pt>
              <c:pt idx="9">
                <c:v>0.34397077157501038</c:v>
              </c:pt>
              <c:pt idx="10">
                <c:v>0.31042974989724997</c:v>
              </c:pt>
              <c:pt idx="11">
                <c:v>0.26883830820985455</c:v>
              </c:pt>
              <c:pt idx="12">
                <c:v>0.30765067471312074</c:v>
              </c:pt>
              <c:pt idx="13">
                <c:v>0.25855788629455373</c:v>
              </c:pt>
              <c:pt idx="14">
                <c:v>0.19413696867164534</c:v>
              </c:pt>
              <c:pt idx="15">
                <c:v>0.1551650505321242</c:v>
              </c:pt>
              <c:pt idx="16">
                <c:v>0.14604952392837323</c:v>
              </c:pt>
              <c:pt idx="17">
                <c:v>0.11280527628025043</c:v>
              </c:pt>
              <c:pt idx="18">
                <c:v>9.8576252406545814E-2</c:v>
              </c:pt>
              <c:pt idx="19">
                <c:v>8.891665123259565E-2</c:v>
              </c:pt>
              <c:pt idx="20">
                <c:v>7.1891513161797732E-2</c:v>
              </c:pt>
              <c:pt idx="21">
                <c:v>6.5718387763704242E-2</c:v>
              </c:pt>
              <c:pt idx="22">
                <c:v>6.311427370435739E-2</c:v>
              </c:pt>
              <c:pt idx="23">
                <c:v>5.3421296262748691E-2</c:v>
              </c:pt>
              <c:pt idx="24">
                <c:v>5.0617486014633263E-2</c:v>
              </c:pt>
              <c:pt idx="25">
                <c:v>4.7300666198105329E-2</c:v>
              </c:pt>
              <c:pt idx="26">
                <c:v>4.1860010863856004E-2</c:v>
              </c:pt>
              <c:pt idx="27">
                <c:v>3.8963914130431675E-2</c:v>
              </c:pt>
              <c:pt idx="28">
                <c:v>3.8069753151331105E-2</c:v>
              </c:pt>
              <c:pt idx="29">
                <c:v>3.4551659878252962E-2</c:v>
              </c:pt>
              <c:pt idx="30">
                <c:v>3.5800884916097016E-2</c:v>
              </c:pt>
              <c:pt idx="31">
                <c:v>2.6803537972473254E-2</c:v>
              </c:pt>
              <c:pt idx="32">
                <c:v>4.52946641555107E-2</c:v>
              </c:pt>
              <c:pt idx="33">
                <c:v>3.8500823505800655E-2</c:v>
              </c:pt>
              <c:pt idx="34">
                <c:v>2.7620364571158993E-2</c:v>
              </c:pt>
            </c:numLit>
          </c:val>
          <c:smooth val="1"/>
          <c:extLst>
            <c:ext xmlns:c16="http://schemas.microsoft.com/office/drawing/2014/chart" uri="{C3380CC4-5D6E-409C-BE32-E72D297353CC}">
              <c16:uniqueId val="{00000003-C643-41E7-99B5-63A7395BFA81}"/>
            </c:ext>
          </c:extLst>
        </c:ser>
        <c:ser>
          <c:idx val="6"/>
          <c:order val="4"/>
          <c:tx>
            <c:v> altri combustibili</c:v>
          </c:tx>
          <c:spPr>
            <a:ln w="28575">
              <a:solidFill>
                <a:schemeClr val="accent3">
                  <a:lumMod val="7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4.7553093259464452E-4</c:v>
              </c:pt>
              <c:pt idx="1">
                <c:v>9.8279433676034026E-4</c:v>
              </c:pt>
              <c:pt idx="2">
                <c:v>8.1324529069099329E-4</c:v>
              </c:pt>
              <c:pt idx="3">
                <c:v>9.3356433066130466E-4</c:v>
              </c:pt>
              <c:pt idx="4">
                <c:v>1.2208131823666262E-3</c:v>
              </c:pt>
              <c:pt idx="5">
                <c:v>1.6108440864422832E-3</c:v>
              </c:pt>
              <c:pt idx="6">
                <c:v>2.4751290442278965E-3</c:v>
              </c:pt>
              <c:pt idx="7">
                <c:v>3.2687821758318495E-3</c:v>
              </c:pt>
              <c:pt idx="8">
                <c:v>4.7422188349230537E-3</c:v>
              </c:pt>
              <c:pt idx="9">
                <c:v>6.86217529827689E-3</c:v>
              </c:pt>
              <c:pt idx="10">
                <c:v>6.8969929761283797E-3</c:v>
              </c:pt>
              <c:pt idx="11">
                <c:v>9.2731908622171524E-3</c:v>
              </c:pt>
              <c:pt idx="12">
                <c:v>1.2305942859706783E-2</c:v>
              </c:pt>
              <c:pt idx="13">
                <c:v>1.5288350263488404E-2</c:v>
              </c:pt>
              <c:pt idx="14">
                <c:v>1.858392434832315E-2</c:v>
              </c:pt>
              <c:pt idx="15">
                <c:v>2.0266521434623021E-2</c:v>
              </c:pt>
              <c:pt idx="16">
                <c:v>2.1471213973893653E-2</c:v>
              </c:pt>
              <c:pt idx="17">
                <c:v>2.2153457381905252E-2</c:v>
              </c:pt>
              <c:pt idx="18">
                <c:v>2.4020648664367081E-2</c:v>
              </c:pt>
              <c:pt idx="19">
                <c:v>3.1878817369719925E-2</c:v>
              </c:pt>
              <c:pt idx="20">
                <c:v>3.8352381073453512E-2</c:v>
              </c:pt>
              <c:pt idx="21">
                <c:v>4.341622059798575E-2</c:v>
              </c:pt>
              <c:pt idx="22">
                <c:v>4.9295266379351263E-2</c:v>
              </c:pt>
              <c:pt idx="23">
                <c:v>6.6883157887109176E-2</c:v>
              </c:pt>
              <c:pt idx="24">
                <c:v>7.5703592418491075E-2</c:v>
              </c:pt>
              <c:pt idx="25">
                <c:v>7.7117209946928167E-2</c:v>
              </c:pt>
              <c:pt idx="26">
                <c:v>7.5963131910264825E-2</c:v>
              </c:pt>
              <c:pt idx="27">
                <c:v>7.3919958876501671E-2</c:v>
              </c:pt>
              <c:pt idx="28">
                <c:v>7.4752658357632992E-2</c:v>
              </c:pt>
              <c:pt idx="29">
                <c:v>7.4837076969652472E-2</c:v>
              </c:pt>
              <c:pt idx="30">
                <c:v>7.8551344043728433E-2</c:v>
              </c:pt>
              <c:pt idx="31">
                <c:v>7.4204349572552564E-2</c:v>
              </c:pt>
              <c:pt idx="32">
                <c:v>7.0473854238936623E-2</c:v>
              </c:pt>
              <c:pt idx="33">
                <c:v>6.9585611012721246E-2</c:v>
              </c:pt>
              <c:pt idx="34">
                <c:v>6.21710878440545E-2</c:v>
              </c:pt>
            </c:numLit>
          </c:val>
          <c:smooth val="1"/>
          <c:extLst>
            <c:ext xmlns:c16="http://schemas.microsoft.com/office/drawing/2014/chart" uri="{C3380CC4-5D6E-409C-BE32-E72D297353CC}">
              <c16:uniqueId val="{00000004-C643-41E7-99B5-63A7395BFA81}"/>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3.0253934631825134E-2"/>
          <c:y val="0.90471529273099882"/>
          <c:w val="0.95054996449220541"/>
          <c:h val="6.765143161992204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77405877098391762"/>
        </c:manualLayout>
      </c:layout>
      <c:lineChart>
        <c:grouping val="standard"/>
        <c:varyColors val="0"/>
        <c:ser>
          <c:idx val="0"/>
          <c:order val="0"/>
          <c:tx>
            <c:v>Gas naturale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91.520813921277295</c:v>
              </c:pt>
              <c:pt idx="2">
                <c:v>89.339948122591863</c:v>
              </c:pt>
              <c:pt idx="3">
                <c:v>100.63965347906017</c:v>
              </c:pt>
              <c:pt idx="4">
                <c:v>102.75756125815307</c:v>
              </c:pt>
              <c:pt idx="5">
                <c:v>118.35604019239972</c:v>
              </c:pt>
              <c:pt idx="6">
                <c:v>126.39703845475836</c:v>
              </c:pt>
              <c:pt idx="7">
                <c:v>154.35543579541161</c:v>
              </c:pt>
              <c:pt idx="8">
                <c:v>178.50613211110831</c:v>
              </c:pt>
              <c:pt idx="9">
                <c:v>219.05109672870128</c:v>
              </c:pt>
              <c:pt idx="10">
                <c:v>255.25699463597675</c:v>
              </c:pt>
              <c:pt idx="11">
                <c:v>262.37754665189249</c:v>
              </c:pt>
              <c:pt idx="12">
                <c:v>250.35583872673701</c:v>
              </c:pt>
              <c:pt idx="13">
                <c:v>295.40154624896121</c:v>
              </c:pt>
              <c:pt idx="14">
                <c:v>326.80777657458003</c:v>
              </c:pt>
              <c:pt idx="15">
                <c:v>375.88103452617798</c:v>
              </c:pt>
              <c:pt idx="16">
                <c:v>398.09312750258124</c:v>
              </c:pt>
              <c:pt idx="17">
                <c:v>434.77775819083837</c:v>
              </c:pt>
              <c:pt idx="18">
                <c:v>434.90694804704225</c:v>
              </c:pt>
              <c:pt idx="19">
                <c:v>370.87335364778767</c:v>
              </c:pt>
              <c:pt idx="20">
                <c:v>384.64050970812661</c:v>
              </c:pt>
              <c:pt idx="21">
                <c:v>364.018232642474</c:v>
              </c:pt>
              <c:pt idx="22">
                <c:v>325.00969553501722</c:v>
              </c:pt>
              <c:pt idx="23">
                <c:v>274.18368631796318</c:v>
              </c:pt>
              <c:pt idx="24">
                <c:v>235.80875871968573</c:v>
              </c:pt>
              <c:pt idx="25">
                <c:v>279.18129391321867</c:v>
              </c:pt>
              <c:pt idx="26">
                <c:v>317.68138205444609</c:v>
              </c:pt>
              <c:pt idx="27">
                <c:v>353.40321909884409</c:v>
              </c:pt>
              <c:pt idx="28">
                <c:v>323.57287959376964</c:v>
              </c:pt>
              <c:pt idx="29">
                <c:v>356.81332223999595</c:v>
              </c:pt>
              <c:pt idx="30">
                <c:v>336.65613228897723</c:v>
              </c:pt>
              <c:pt idx="31">
                <c:v>362.63303071351584</c:v>
              </c:pt>
              <c:pt idx="32">
                <c:v>356.20466949532852</c:v>
              </c:pt>
              <c:pt idx="33">
                <c:v>299.64621678343195</c:v>
              </c:pt>
              <c:pt idx="34">
                <c:v>308.80838171026232</c:v>
              </c:pt>
            </c:numLit>
          </c:val>
          <c:smooth val="1"/>
          <c:extLst>
            <c:ext xmlns:c16="http://schemas.microsoft.com/office/drawing/2014/chart" uri="{C3380CC4-5D6E-409C-BE32-E72D297353CC}">
              <c16:uniqueId val="{00000000-409D-4EC2-94CC-43558E6C29F7}"/>
            </c:ext>
          </c:extLst>
        </c:ser>
        <c:ser>
          <c:idx val="3"/>
          <c:order val="1"/>
          <c:tx>
            <c:v>Gas naturale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92.27151628040923</c:v>
              </c:pt>
              <c:pt idx="2">
                <c:v>89.086817058592032</c:v>
              </c:pt>
              <c:pt idx="3">
                <c:v>100.02632271479442</c:v>
              </c:pt>
              <c:pt idx="4">
                <c:v>99.830923593829709</c:v>
              </c:pt>
              <c:pt idx="5">
                <c:v>115.9476089556461</c:v>
              </c:pt>
              <c:pt idx="6">
                <c:v>121.85520826053806</c:v>
              </c:pt>
              <c:pt idx="7">
                <c:v>144.5527414867814</c:v>
              </c:pt>
              <c:pt idx="8">
                <c:v>168.99894088367029</c:v>
              </c:pt>
              <c:pt idx="9">
                <c:v>205.40868220879571</c:v>
              </c:pt>
              <c:pt idx="10">
                <c:v>231.94077978814423</c:v>
              </c:pt>
              <c:pt idx="11">
                <c:v>225.91096550360749</c:v>
              </c:pt>
              <c:pt idx="12">
                <c:v>230.08025304034976</c:v>
              </c:pt>
              <c:pt idx="13">
                <c:v>236.19923123289257</c:v>
              </c:pt>
              <c:pt idx="14">
                <c:v>248.92732268538023</c:v>
              </c:pt>
              <c:pt idx="15">
                <c:v>281.43352403870568</c:v>
              </c:pt>
              <c:pt idx="16">
                <c:v>290.06016941412901</c:v>
              </c:pt>
              <c:pt idx="17">
                <c:v>314.74511576404791</c:v>
              </c:pt>
              <c:pt idx="18">
                <c:v>318.27196046003064</c:v>
              </c:pt>
              <c:pt idx="19">
                <c:v>271.31409133477564</c:v>
              </c:pt>
              <c:pt idx="20">
                <c:v>281.15762461147563</c:v>
              </c:pt>
              <c:pt idx="21">
                <c:v>261.52968563800198</c:v>
              </c:pt>
              <c:pt idx="22">
                <c:v>235.59967402207391</c:v>
              </c:pt>
              <c:pt idx="23">
                <c:v>191.0665128544903</c:v>
              </c:pt>
              <c:pt idx="24">
                <c:v>165.9435051289222</c:v>
              </c:pt>
              <c:pt idx="25">
                <c:v>191.79912794409614</c:v>
              </c:pt>
              <c:pt idx="26">
                <c:v>219.92250662087963</c:v>
              </c:pt>
              <c:pt idx="27">
                <c:v>244.94458974524923</c:v>
              </c:pt>
              <c:pt idx="28">
                <c:v>223.479118906541</c:v>
              </c:pt>
              <c:pt idx="29">
                <c:v>246.436416178223</c:v>
              </c:pt>
              <c:pt idx="30">
                <c:v>233.90037988553522</c:v>
              </c:pt>
              <c:pt idx="31">
                <c:v>252.59391727758197</c:v>
              </c:pt>
              <c:pt idx="32">
                <c:v>246.10198352759741</c:v>
              </c:pt>
              <c:pt idx="33">
                <c:v>208.2273844930065</c:v>
              </c:pt>
              <c:pt idx="34">
                <c:v>214.59427161571733</c:v>
              </c:pt>
            </c:numLit>
          </c:val>
          <c:smooth val="1"/>
          <c:extLst>
            <c:ext xmlns:c16="http://schemas.microsoft.com/office/drawing/2014/chart" uri="{C3380CC4-5D6E-409C-BE32-E72D297353CC}">
              <c16:uniqueId val="{00000001-409D-4EC2-94CC-43558E6C29F7}"/>
            </c:ext>
          </c:extLst>
        </c:ser>
        <c:dLbls>
          <c:showLegendKey val="0"/>
          <c:showVal val="0"/>
          <c:showCatName val="0"/>
          <c:showSerName val="0"/>
          <c:showPercent val="0"/>
          <c:showBubbleSize val="0"/>
        </c:dLbls>
        <c:smooth val="0"/>
        <c:axId val="165343232"/>
        <c:axId val="165344768"/>
      </c:lineChart>
      <c:catAx>
        <c:axId val="16534323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344768"/>
        <c:crosses val="autoZero"/>
        <c:auto val="1"/>
        <c:lblAlgn val="ctr"/>
        <c:lblOffset val="100"/>
        <c:tickLblSkip val="1"/>
        <c:noMultiLvlLbl val="0"/>
      </c:catAx>
      <c:valAx>
        <c:axId val="165344768"/>
        <c:scaling>
          <c:orientation val="minMax"/>
          <c:max val="45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43232"/>
        <c:crosses val="autoZero"/>
        <c:crossBetween val="between"/>
      </c:valAx>
    </c:plotArea>
    <c:legend>
      <c:legendPos val="b"/>
      <c:layout>
        <c:manualLayout>
          <c:xMode val="edge"/>
          <c:yMode val="edge"/>
          <c:x val="0.23973467794585007"/>
          <c:y val="0.65375590082186874"/>
          <c:w val="0.43230373712521797"/>
          <c:h val="0.1214486201843060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5783981273392"/>
          <c:y val="5.1400554097404488E-2"/>
          <c:w val="0.82759040889102797"/>
          <c:h val="0.77772649207863198"/>
        </c:manualLayout>
      </c:layout>
      <c:lineChart>
        <c:grouping val="standard"/>
        <c:varyColors val="0"/>
        <c:ser>
          <c:idx val="0"/>
          <c:order val="0"/>
          <c:tx>
            <c:v>Solidi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88.953724217555475</c:v>
              </c:pt>
              <c:pt idx="2">
                <c:v>66.633382219864572</c:v>
              </c:pt>
              <c:pt idx="3">
                <c:v>51.983024932130938</c:v>
              </c:pt>
              <c:pt idx="4">
                <c:v>61.958997722095674</c:v>
              </c:pt>
              <c:pt idx="5">
                <c:v>75.270696165007649</c:v>
              </c:pt>
              <c:pt idx="6">
                <c:v>68.898804880332023</c:v>
              </c:pt>
              <c:pt idx="7">
                <c:v>64.024713701750557</c:v>
              </c:pt>
              <c:pt idx="8">
                <c:v>72.740038069086026</c:v>
              </c:pt>
              <c:pt idx="9">
                <c:v>74.303366929821834</c:v>
              </c:pt>
              <c:pt idx="10">
                <c:v>81.979592473554476</c:v>
              </c:pt>
              <c:pt idx="11">
                <c:v>99.010827846600307</c:v>
              </c:pt>
              <c:pt idx="12">
                <c:v>110.60941741816708</c:v>
              </c:pt>
              <c:pt idx="13">
                <c:v>121.11274066215248</c:v>
              </c:pt>
              <c:pt idx="14">
                <c:v>142.03513589415547</c:v>
              </c:pt>
              <c:pt idx="15">
                <c:v>136.06983492994667</c:v>
              </c:pt>
              <c:pt idx="16">
                <c:v>137.94551752114083</c:v>
              </c:pt>
              <c:pt idx="17">
                <c:v>137.64845383343217</c:v>
              </c:pt>
              <c:pt idx="18">
                <c:v>134.40821293724844</c:v>
              </c:pt>
              <c:pt idx="19">
                <c:v>124.02159328486289</c:v>
              </c:pt>
              <c:pt idx="20">
                <c:v>123.98664461572069</c:v>
              </c:pt>
              <c:pt idx="21">
                <c:v>139.5637657191001</c:v>
              </c:pt>
              <c:pt idx="22">
                <c:v>153.34165444503387</c:v>
              </c:pt>
              <c:pt idx="23">
                <c:v>140.74453146940434</c:v>
              </c:pt>
              <c:pt idx="24">
                <c:v>135.59677972977192</c:v>
              </c:pt>
              <c:pt idx="25">
                <c:v>134.80606609042971</c:v>
              </c:pt>
              <c:pt idx="26">
                <c:v>111.11086841201984</c:v>
              </c:pt>
              <c:pt idx="27">
                <c:v>101.81117153593162</c:v>
              </c:pt>
              <c:pt idx="28">
                <c:v>88.837855961868513</c:v>
              </c:pt>
              <c:pt idx="29">
                <c:v>58.786934712952863</c:v>
              </c:pt>
              <c:pt idx="30">
                <c:v>41.74957684457204</c:v>
              </c:pt>
              <c:pt idx="31">
                <c:v>43.754232051393274</c:v>
              </c:pt>
              <c:pt idx="32">
                <c:v>70.542179499734786</c:v>
              </c:pt>
              <c:pt idx="33">
                <c:v>41.251552768274102</c:v>
              </c:pt>
              <c:pt idx="34">
                <c:v>11.949322934871599</c:v>
              </c:pt>
            </c:numLit>
          </c:val>
          <c:smooth val="1"/>
          <c:extLst>
            <c:ext xmlns:c16="http://schemas.microsoft.com/office/drawing/2014/chart" uri="{C3380CC4-5D6E-409C-BE32-E72D297353CC}">
              <c16:uniqueId val="{00000000-4FD2-4ECC-993D-A6D7ACA510E1}"/>
            </c:ext>
          </c:extLst>
        </c:ser>
        <c:ser>
          <c:idx val="3"/>
          <c:order val="1"/>
          <c:tx>
            <c:v>Solidi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89.373120598674078</c:v>
              </c:pt>
              <c:pt idx="2">
                <c:v>67.037207828814488</c:v>
              </c:pt>
              <c:pt idx="3">
                <c:v>51.596044271717055</c:v>
              </c:pt>
              <c:pt idx="4">
                <c:v>61.566100906467582</c:v>
              </c:pt>
              <c:pt idx="5">
                <c:v>74.094845918107566</c:v>
              </c:pt>
              <c:pt idx="6">
                <c:v>67.905171804813449</c:v>
              </c:pt>
              <c:pt idx="7">
                <c:v>63.325375070908031</c:v>
              </c:pt>
              <c:pt idx="8">
                <c:v>72.228529830557449</c:v>
              </c:pt>
              <c:pt idx="9">
                <c:v>72.908561471096576</c:v>
              </c:pt>
              <c:pt idx="10">
                <c:v>79.651816353272096</c:v>
              </c:pt>
              <c:pt idx="11">
                <c:v>100.26676059181811</c:v>
              </c:pt>
              <c:pt idx="12">
                <c:v>114.43099261421004</c:v>
              </c:pt>
              <c:pt idx="13">
                <c:v>125.54712780374867</c:v>
              </c:pt>
              <c:pt idx="14">
                <c:v>150.06846608642459</c:v>
              </c:pt>
              <c:pt idx="15">
                <c:v>142.73475719161661</c:v>
              </c:pt>
              <c:pt idx="16">
                <c:v>141.3536554446768</c:v>
              </c:pt>
              <c:pt idx="17">
                <c:v>144.66377693404198</c:v>
              </c:pt>
              <c:pt idx="18">
                <c:v>143.27924958534112</c:v>
              </c:pt>
              <c:pt idx="19">
                <c:v>128.75795599283376</c:v>
              </c:pt>
              <c:pt idx="20">
                <c:v>125.76372890782001</c:v>
              </c:pt>
              <c:pt idx="21">
                <c:v>139.05195781305025</c:v>
              </c:pt>
              <c:pt idx="22">
                <c:v>150.81354480124577</c:v>
              </c:pt>
              <c:pt idx="23">
                <c:v>140.86376044067558</c:v>
              </c:pt>
              <c:pt idx="24">
                <c:v>135.52313235252086</c:v>
              </c:pt>
              <c:pt idx="25">
                <c:v>138.32080712186263</c:v>
              </c:pt>
              <c:pt idx="26">
                <c:v>113.45728012514635</c:v>
              </c:pt>
              <c:pt idx="27">
                <c:v>101.01341916476521</c:v>
              </c:pt>
              <c:pt idx="28">
                <c:v>89.602183961296319</c:v>
              </c:pt>
              <c:pt idx="29">
                <c:v>60.929935216982997</c:v>
              </c:pt>
              <c:pt idx="30">
                <c:v>44.142984000720304</c:v>
              </c:pt>
              <c:pt idx="31">
                <c:v>46.641339342280681</c:v>
              </c:pt>
              <c:pt idx="32">
                <c:v>74.999010857706253</c:v>
              </c:pt>
              <c:pt idx="33">
                <c:v>43.143158423027863</c:v>
              </c:pt>
              <c:pt idx="34">
                <c:v>12.497263686606546</c:v>
              </c:pt>
            </c:numLit>
          </c:val>
          <c:smooth val="1"/>
          <c:extLst>
            <c:ext xmlns:c16="http://schemas.microsoft.com/office/drawing/2014/chart" uri="{C3380CC4-5D6E-409C-BE32-E72D297353CC}">
              <c16:uniqueId val="{00000001-4FD2-4ECC-993D-A6D7ACA510E1}"/>
            </c:ext>
          </c:extLst>
        </c:ser>
        <c:dLbls>
          <c:showLegendKey val="0"/>
          <c:showVal val="0"/>
          <c:showCatName val="0"/>
          <c:showSerName val="0"/>
          <c:showPercent val="0"/>
          <c:showBubbleSize val="0"/>
        </c:dLbls>
        <c:smooth val="0"/>
        <c:axId val="165354496"/>
        <c:axId val="165489664"/>
      </c:lineChart>
      <c:catAx>
        <c:axId val="16535449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489664"/>
        <c:crosses val="autoZero"/>
        <c:auto val="1"/>
        <c:lblAlgn val="ctr"/>
        <c:lblOffset val="100"/>
        <c:tickLblSkip val="1"/>
        <c:noMultiLvlLbl val="0"/>
      </c:catAx>
      <c:valAx>
        <c:axId val="165489664"/>
        <c:scaling>
          <c:orientation val="minMax"/>
          <c:max val="16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54496"/>
        <c:crosses val="autoZero"/>
        <c:crossBetween val="between"/>
      </c:valAx>
    </c:plotArea>
    <c:legend>
      <c:legendPos val="b"/>
      <c:layout>
        <c:manualLayout>
          <c:xMode val="edge"/>
          <c:yMode val="edge"/>
          <c:x val="0.13634960250542039"/>
          <c:y val="0.6406967264751332"/>
          <c:w val="0.37154621746468236"/>
          <c:h val="0.11301440284662895"/>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28607057691"/>
          <c:y val="5.1400554097404488E-2"/>
          <c:w val="0.82481196263320977"/>
          <c:h val="0.79633717268509507"/>
        </c:manualLayout>
      </c:layout>
      <c:lineChart>
        <c:grouping val="standard"/>
        <c:varyColors val="0"/>
        <c:ser>
          <c:idx val="0"/>
          <c:order val="0"/>
          <c:tx>
            <c:v>Gas derivati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98.681022880215338</c:v>
              </c:pt>
              <c:pt idx="2">
                <c:v>98.277254374158815</c:v>
              </c:pt>
              <c:pt idx="3">
                <c:v>95.181695827725434</c:v>
              </c:pt>
              <c:pt idx="4">
                <c:v>83.12247644683714</c:v>
              </c:pt>
              <c:pt idx="5">
                <c:v>92.759084791386272</c:v>
              </c:pt>
              <c:pt idx="6">
                <c:v>87.294751009421262</c:v>
              </c:pt>
              <c:pt idx="7">
                <c:v>114.42799461641992</c:v>
              </c:pt>
              <c:pt idx="8">
                <c:v>121.56123822341857</c:v>
              </c:pt>
              <c:pt idx="9">
                <c:v>118.78869448183042</c:v>
              </c:pt>
              <c:pt idx="10">
                <c:v>114.4549125168237</c:v>
              </c:pt>
              <c:pt idx="11">
                <c:v>135.8008075370121</c:v>
              </c:pt>
              <c:pt idx="12">
                <c:v>135.15477792732167</c:v>
              </c:pt>
              <c:pt idx="13">
                <c:v>142.77254374158815</c:v>
              </c:pt>
              <c:pt idx="14">
                <c:v>144.25302826379541</c:v>
              </c:pt>
              <c:pt idx="15">
                <c:v>156.47913862718707</c:v>
              </c:pt>
              <c:pt idx="16">
                <c:v>167.67429340511441</c:v>
              </c:pt>
              <c:pt idx="17">
                <c:v>151.36204576043068</c:v>
              </c:pt>
              <c:pt idx="18">
                <c:v>148.4979811574697</c:v>
              </c:pt>
              <c:pt idx="19">
                <c:v>98.807537012113045</c:v>
              </c:pt>
              <c:pt idx="20">
                <c:v>126.49798115746971</c:v>
              </c:pt>
              <c:pt idx="21">
                <c:v>145.71736204576041</c:v>
              </c:pt>
              <c:pt idx="22">
                <c:v>133.7765814266487</c:v>
              </c:pt>
              <c:pt idx="23">
                <c:v>91.251682368775235</c:v>
              </c:pt>
              <c:pt idx="24">
                <c:v>82.627187079407818</c:v>
              </c:pt>
              <c:pt idx="25">
                <c:v>58.87752355316286</c:v>
              </c:pt>
              <c:pt idx="26">
                <c:v>75.283983849259755</c:v>
              </c:pt>
              <c:pt idx="27">
                <c:v>66.453679812920583</c:v>
              </c:pt>
              <c:pt idx="28">
                <c:v>66.912373226917893</c:v>
              </c:pt>
              <c:pt idx="29">
                <c:v>64.962312903364733</c:v>
              </c:pt>
              <c:pt idx="30">
                <c:v>44.777501374966356</c:v>
              </c:pt>
              <c:pt idx="31">
                <c:v>51.523210994347245</c:v>
              </c:pt>
              <c:pt idx="32">
                <c:v>42.78285408209959</c:v>
              </c:pt>
              <c:pt idx="33">
                <c:v>31.131586347864467</c:v>
              </c:pt>
              <c:pt idx="34">
                <c:v>29.57530286557143</c:v>
              </c:pt>
            </c:numLit>
          </c:val>
          <c:smooth val="1"/>
          <c:extLst>
            <c:ext xmlns:c16="http://schemas.microsoft.com/office/drawing/2014/chart" uri="{C3380CC4-5D6E-409C-BE32-E72D297353CC}">
              <c16:uniqueId val="{00000000-80AB-49EC-8B5A-F89AA7D17D66}"/>
            </c:ext>
          </c:extLst>
        </c:ser>
        <c:ser>
          <c:idx val="3"/>
          <c:order val="1"/>
          <c:tx>
            <c:v>Gas derivati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96.620894137903093</c:v>
              </c:pt>
              <c:pt idx="2">
                <c:v>92.083826206093406</c:v>
              </c:pt>
              <c:pt idx="3">
                <c:v>87.549220746421668</c:v>
              </c:pt>
              <c:pt idx="4">
                <c:v>80.103878388963906</c:v>
              </c:pt>
              <c:pt idx="5">
                <c:v>94.770980094597874</c:v>
              </c:pt>
              <c:pt idx="6">
                <c:v>90.237399737522551</c:v>
              </c:pt>
              <c:pt idx="7">
                <c:v>105.61084354712042</c:v>
              </c:pt>
              <c:pt idx="8">
                <c:v>123.01914696875846</c:v>
              </c:pt>
              <c:pt idx="9">
                <c:v>105.33502826170526</c:v>
              </c:pt>
              <c:pt idx="10">
                <c:v>94.410816880226093</c:v>
              </c:pt>
              <c:pt idx="11">
                <c:v>102.98048074555027</c:v>
              </c:pt>
              <c:pt idx="12">
                <c:v>103.49853013674235</c:v>
              </c:pt>
              <c:pt idx="13">
                <c:v>100.10331495006241</c:v>
              </c:pt>
              <c:pt idx="14">
                <c:v>145.34620205345485</c:v>
              </c:pt>
              <c:pt idx="15">
                <c:v>164.22534119359551</c:v>
              </c:pt>
              <c:pt idx="16">
                <c:v>172.35655234545013</c:v>
              </c:pt>
              <c:pt idx="17">
                <c:v>149.5513507814303</c:v>
              </c:pt>
              <c:pt idx="18">
                <c:v>138.22511454282747</c:v>
              </c:pt>
              <c:pt idx="19">
                <c:v>88.139328197015203</c:v>
              </c:pt>
              <c:pt idx="20">
                <c:v>115.95185265726353</c:v>
              </c:pt>
              <c:pt idx="21">
                <c:v>130.75497560520097</c:v>
              </c:pt>
              <c:pt idx="22">
                <c:v>110.17214114201965</c:v>
              </c:pt>
              <c:pt idx="23">
                <c:v>80.684049428643348</c:v>
              </c:pt>
              <c:pt idx="24">
                <c:v>81.606396060463453</c:v>
              </c:pt>
              <c:pt idx="25">
                <c:v>52.6684889467682</c:v>
              </c:pt>
              <c:pt idx="26">
                <c:v>67.951852301135119</c:v>
              </c:pt>
              <c:pt idx="27">
                <c:v>54.818942711701133</c:v>
              </c:pt>
              <c:pt idx="28">
                <c:v>60.828289668657106</c:v>
              </c:pt>
              <c:pt idx="29">
                <c:v>50.588596676603345</c:v>
              </c:pt>
              <c:pt idx="30">
                <c:v>34.078878622594743</c:v>
              </c:pt>
              <c:pt idx="31">
                <c:v>49.521875224835057</c:v>
              </c:pt>
              <c:pt idx="32">
                <c:v>37.760303489179883</c:v>
              </c:pt>
              <c:pt idx="33">
                <c:v>23.699540483936882</c:v>
              </c:pt>
              <c:pt idx="34">
                <c:v>22.514788670105329</c:v>
              </c:pt>
            </c:numLit>
          </c:val>
          <c:smooth val="1"/>
          <c:extLst>
            <c:ext xmlns:c16="http://schemas.microsoft.com/office/drawing/2014/chart" uri="{C3380CC4-5D6E-409C-BE32-E72D297353CC}">
              <c16:uniqueId val="{00000001-80AB-49EC-8B5A-F89AA7D17D66}"/>
            </c:ext>
          </c:extLst>
        </c:ser>
        <c:dLbls>
          <c:showLegendKey val="0"/>
          <c:showVal val="0"/>
          <c:showCatName val="0"/>
          <c:showSerName val="0"/>
          <c:showPercent val="0"/>
          <c:showBubbleSize val="0"/>
        </c:dLbls>
        <c:smooth val="0"/>
        <c:axId val="165524224"/>
        <c:axId val="165540608"/>
      </c:lineChart>
      <c:catAx>
        <c:axId val="165524224"/>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40608"/>
        <c:crosses val="autoZero"/>
        <c:auto val="1"/>
        <c:lblAlgn val="ctr"/>
        <c:lblOffset val="100"/>
        <c:tickLblSkip val="1"/>
        <c:noMultiLvlLbl val="0"/>
      </c:catAx>
      <c:valAx>
        <c:axId val="165540608"/>
        <c:scaling>
          <c:orientation val="minMax"/>
          <c:max val="18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24224"/>
        <c:crosses val="autoZero"/>
        <c:crossBetween val="between"/>
      </c:valAx>
    </c:plotArea>
    <c:legend>
      <c:legendPos val="b"/>
      <c:layout>
        <c:manualLayout>
          <c:xMode val="edge"/>
          <c:yMode val="edge"/>
          <c:x val="0.14914532762682445"/>
          <c:y val="0.65661747345080512"/>
          <c:w val="0.42982467760142828"/>
          <c:h val="0.12580927384076934"/>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3069636176683"/>
          <c:y val="5.1400554097404488E-2"/>
          <c:w val="0.80814128508608862"/>
          <c:h val="0.79610588911701052"/>
        </c:manualLayout>
      </c:layout>
      <c:lineChart>
        <c:grouping val="standard"/>
        <c:varyColors val="0"/>
        <c:ser>
          <c:idx val="0"/>
          <c:order val="0"/>
          <c:tx>
            <c:v>Altri combustibili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211.65048543689321</c:v>
              </c:pt>
              <c:pt idx="2">
                <c:v>178.64077669902915</c:v>
              </c:pt>
              <c:pt idx="3">
                <c:v>201.94174757281553</c:v>
              </c:pt>
              <c:pt idx="4">
                <c:v>274.75728155339806</c:v>
              </c:pt>
              <c:pt idx="5">
                <c:v>377.66990291262135</c:v>
              </c:pt>
              <c:pt idx="6">
                <c:v>587.37864077669894</c:v>
              </c:pt>
              <c:pt idx="7">
                <c:v>798.05825242718447</c:v>
              </c:pt>
              <c:pt idx="8">
                <c:v>1196.1165048543689</c:v>
              </c:pt>
              <c:pt idx="9">
                <c:v>1769.9029126213593</c:v>
              </c:pt>
              <c:pt idx="10">
                <c:v>1852.4271844660195</c:v>
              </c:pt>
              <c:pt idx="11">
                <c:v>2511.9417475728155</c:v>
              </c:pt>
              <c:pt idx="12">
                <c:v>3408.3495145631068</c:v>
              </c:pt>
              <c:pt idx="13">
                <c:v>4362.1359223300969</c:v>
              </c:pt>
              <c:pt idx="14">
                <c:v>5473.2038834951454</c:v>
              </c:pt>
              <c:pt idx="15">
                <c:v>5975.6310679611643</c:v>
              </c:pt>
              <c:pt idx="16">
                <c:v>6548.155339805825</c:v>
              </c:pt>
              <c:pt idx="17">
                <c:v>6751.1650485436903</c:v>
              </c:pt>
              <c:pt idx="18">
                <c:v>7442.4271844660198</c:v>
              </c:pt>
              <c:pt idx="19">
                <c:v>9057.3786407766984</c:v>
              </c:pt>
              <c:pt idx="20">
                <c:v>11247.378640776698</c:v>
              </c:pt>
              <c:pt idx="21">
                <c:v>12754.271844660196</c:v>
              </c:pt>
              <c:pt idx="22">
                <c:v>14323.203883495149</c:v>
              </c:pt>
              <c:pt idx="23">
                <c:v>18818.446601941749</c:v>
              </c:pt>
              <c:pt idx="24">
                <c:v>20566.990291262136</c:v>
              </c:pt>
              <c:pt idx="25">
                <c:v>21188.058252427181</c:v>
              </c:pt>
              <c:pt idx="26">
                <c:v>21370.582524271846</c:v>
              </c:pt>
              <c:pt idx="27">
                <c:v>21230.816436611665</c:v>
              </c:pt>
              <c:pt idx="28">
                <c:v>21025.70632358253</c:v>
              </c:pt>
              <c:pt idx="29">
                <c:v>21350.595716582524</c:v>
              </c:pt>
              <c:pt idx="30">
                <c:v>21394.260384126213</c:v>
              </c:pt>
              <c:pt idx="31">
                <c:v>20825.451143786406</c:v>
              </c:pt>
              <c:pt idx="32">
                <c:v>19428.986346398058</c:v>
              </c:pt>
              <c:pt idx="33">
                <c:v>17883.382088080994</c:v>
              </c:pt>
              <c:pt idx="34">
                <c:v>16406.518503292533</c:v>
              </c:pt>
            </c:numLit>
          </c:val>
          <c:smooth val="1"/>
          <c:extLst>
            <c:ext xmlns:c16="http://schemas.microsoft.com/office/drawing/2014/chart" uri="{C3380CC4-5D6E-409C-BE32-E72D297353CC}">
              <c16:uniqueId val="{00000000-041F-4674-9AC7-42E760B24B67}"/>
            </c:ext>
          </c:extLst>
        </c:ser>
        <c:ser>
          <c:idx val="3"/>
          <c:order val="1"/>
          <c:tx>
            <c:v>Altri combustibili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124.17670830505622</c:v>
              </c:pt>
              <c:pt idx="2">
                <c:v>99.381127973054149</c:v>
              </c:pt>
              <c:pt idx="3">
                <c:v>99.917775289902394</c:v>
              </c:pt>
              <c:pt idx="4">
                <c:v>121.81192217646455</c:v>
              </c:pt>
              <c:pt idx="5">
                <c:v>173.89621935938089</c:v>
              </c:pt>
              <c:pt idx="6">
                <c:v>210.93822152271429</c:v>
              </c:pt>
              <c:pt idx="7">
                <c:v>240.0548402991958</c:v>
              </c:pt>
              <c:pt idx="8">
                <c:v>353.25237764049848</c:v>
              </c:pt>
              <c:pt idx="9">
                <c:v>609.87914900853423</c:v>
              </c:pt>
              <c:pt idx="10">
                <c:v>435.1054985986658</c:v>
              </c:pt>
              <c:pt idx="11">
                <c:v>622.74384273545661</c:v>
              </c:pt>
              <c:pt idx="12">
                <c:v>626.66848171793004</c:v>
              </c:pt>
              <c:pt idx="13">
                <c:v>1667.3087875296724</c:v>
              </c:pt>
              <c:pt idx="14">
                <c:v>2010.0547991983703</c:v>
              </c:pt>
              <c:pt idx="15">
                <c:v>1849.2722180115252</c:v>
              </c:pt>
              <c:pt idx="16">
                <c:v>2032.7435662904218</c:v>
              </c:pt>
              <c:pt idx="17">
                <c:v>2932.3476512749235</c:v>
              </c:pt>
              <c:pt idx="18">
                <c:v>2588.6912989156713</c:v>
              </c:pt>
              <c:pt idx="19">
                <c:v>2558.5657299031532</c:v>
              </c:pt>
              <c:pt idx="20">
                <c:v>3609.4421486657552</c:v>
              </c:pt>
              <c:pt idx="21">
                <c:v>3570.862054875694</c:v>
              </c:pt>
              <c:pt idx="22">
                <c:v>3672.4222414032524</c:v>
              </c:pt>
              <c:pt idx="23">
                <c:v>3572.6565390804203</c:v>
              </c:pt>
              <c:pt idx="24">
                <c:v>3685.356117265731</c:v>
              </c:pt>
              <c:pt idx="25">
                <c:v>3657.7182314132478</c:v>
              </c:pt>
              <c:pt idx="26">
                <c:v>3822.5374363515884</c:v>
              </c:pt>
              <c:pt idx="27">
                <c:v>3679.3085005910348</c:v>
              </c:pt>
              <c:pt idx="28">
                <c:v>3682.751771099639</c:v>
              </c:pt>
              <c:pt idx="29">
                <c:v>3790.2631782177609</c:v>
              </c:pt>
              <c:pt idx="30">
                <c:v>3677.0000811279779</c:v>
              </c:pt>
              <c:pt idx="31">
                <c:v>3599.5178712975003</c:v>
              </c:pt>
              <c:pt idx="32">
                <c:v>3680.2774284617185</c:v>
              </c:pt>
              <c:pt idx="33">
                <c:v>3802.8615004839862</c:v>
              </c:pt>
              <c:pt idx="34">
                <c:v>3488.8078788177845</c:v>
              </c:pt>
            </c:numLit>
          </c:val>
          <c:smooth val="1"/>
          <c:extLst>
            <c:ext xmlns:c16="http://schemas.microsoft.com/office/drawing/2014/chart" uri="{C3380CC4-5D6E-409C-BE32-E72D297353CC}">
              <c16:uniqueId val="{00000001-041F-4674-9AC7-42E760B24B67}"/>
            </c:ext>
          </c:extLst>
        </c:ser>
        <c:dLbls>
          <c:showLegendKey val="0"/>
          <c:showVal val="0"/>
          <c:showCatName val="0"/>
          <c:showSerName val="0"/>
          <c:showPercent val="0"/>
          <c:showBubbleSize val="0"/>
        </c:dLbls>
        <c:smooth val="0"/>
        <c:axId val="165574912"/>
        <c:axId val="165583104"/>
      </c:lineChart>
      <c:catAx>
        <c:axId val="16557491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83104"/>
        <c:crosses val="autoZero"/>
        <c:auto val="1"/>
        <c:lblAlgn val="ctr"/>
        <c:lblOffset val="100"/>
        <c:tickLblSkip val="1"/>
        <c:noMultiLvlLbl val="0"/>
      </c:catAx>
      <c:valAx>
        <c:axId val="165583104"/>
        <c:scaling>
          <c:orientation val="minMax"/>
          <c:max val="22000"/>
          <c:min val="0"/>
        </c:scaling>
        <c:delete val="0"/>
        <c:axPos val="l"/>
        <c:majorGridlines>
          <c:spPr>
            <a:ln>
              <a:solidFill>
                <a:schemeClr val="bg1">
                  <a:lumMod val="85000"/>
                </a:schemeClr>
              </a:solidFill>
              <a:prstDash val="sys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74912"/>
        <c:crosses val="autoZero"/>
        <c:crossBetween val="between"/>
        <c:majorUnit val="2000"/>
      </c:valAx>
    </c:plotArea>
    <c:legend>
      <c:legendPos val="b"/>
      <c:layout>
        <c:manualLayout>
          <c:xMode val="edge"/>
          <c:yMode val="edge"/>
          <c:x val="0.1548286196097326"/>
          <c:y val="0.4477880492411771"/>
          <c:w val="0.48251412311272701"/>
          <c:h val="0.1156218284019049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07942398202194"/>
          <c:y val="5.1400554097404488E-2"/>
          <c:w val="0.83036881803776441"/>
          <c:h val="0.79663477966551843"/>
        </c:manualLayout>
      </c:layout>
      <c:lineChart>
        <c:grouping val="standard"/>
        <c:varyColors val="0"/>
        <c:ser>
          <c:idx val="0"/>
          <c:order val="0"/>
          <c:tx>
            <c:v>Prodotti petroliferi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101.52649461151296</c:v>
              </c:pt>
              <c:pt idx="2">
                <c:v>112.94891889523846</c:v>
              </c:pt>
              <c:pt idx="3">
                <c:v>110.90353293937831</c:v>
              </c:pt>
              <c:pt idx="4">
                <c:v>113.23318957544369</c:v>
              </c:pt>
              <c:pt idx="5">
                <c:v>117.60239098900884</c:v>
              </c:pt>
              <c:pt idx="6">
                <c:v>113.98864864338634</c:v>
              </c:pt>
              <c:pt idx="7">
                <c:v>110.31260039525309</c:v>
              </c:pt>
              <c:pt idx="8">
                <c:v>104.46460732678473</c:v>
              </c:pt>
              <c:pt idx="9">
                <c:v>88.960172898879463</c:v>
              </c:pt>
              <c:pt idx="10">
                <c:v>83.604785872136617</c:v>
              </c:pt>
              <c:pt idx="11">
                <c:v>73.022712448524629</c:v>
              </c:pt>
              <c:pt idx="12">
                <c:v>85.442420584312543</c:v>
              </c:pt>
              <c:pt idx="13">
                <c:v>73.974629815321407</c:v>
              </c:pt>
              <c:pt idx="14">
                <c:v>57.332236489841215</c:v>
              </c:pt>
              <c:pt idx="15">
                <c:v>45.875933371625507</c:v>
              </c:pt>
              <c:pt idx="16">
                <c:v>44.663110038065014</c:v>
              </c:pt>
              <c:pt idx="17">
                <c:v>34.470935270008468</c:v>
              </c:pt>
              <c:pt idx="18">
                <c:v>30.625882261314853</c:v>
              </c:pt>
              <c:pt idx="19">
                <c:v>25.332022313301334</c:v>
              </c:pt>
              <c:pt idx="20">
                <c:v>21.140879486755125</c:v>
              </c:pt>
              <c:pt idx="21">
                <c:v>19.358735969002812</c:v>
              </c:pt>
              <c:pt idx="22">
                <c:v>18.388613596316166</c:v>
              </c:pt>
              <c:pt idx="23">
                <c:v>15.071895170319022</c:v>
              </c:pt>
              <c:pt idx="24">
                <c:v>13.789269755351979</c:v>
              </c:pt>
              <c:pt idx="25">
                <c:v>13.03147421606519</c:v>
              </c:pt>
              <c:pt idx="26">
                <c:v>11.808623526319376</c:v>
              </c:pt>
              <c:pt idx="27">
                <c:v>11.221579699140371</c:v>
              </c:pt>
              <c:pt idx="28">
                <c:v>10.737185474605477</c:v>
              </c:pt>
              <c:pt idx="29">
                <c:v>9.8843596395895581</c:v>
              </c:pt>
              <c:pt idx="30">
                <c:v>9.7774107493355675</c:v>
              </c:pt>
              <c:pt idx="31">
                <c:v>7.542991542207381</c:v>
              </c:pt>
              <c:pt idx="32">
                <c:v>12.521478294872418</c:v>
              </c:pt>
              <c:pt idx="33">
                <c:v>9.921713253513337</c:v>
              </c:pt>
              <c:pt idx="34">
                <c:v>7.3087619133473201</c:v>
              </c:pt>
            </c:numLit>
          </c:val>
          <c:smooth val="1"/>
          <c:extLst>
            <c:ext xmlns:c16="http://schemas.microsoft.com/office/drawing/2014/chart" uri="{C3380CC4-5D6E-409C-BE32-E72D297353CC}">
              <c16:uniqueId val="{00000000-24C1-4FB2-A084-1A5178518936}"/>
            </c:ext>
          </c:extLst>
        </c:ser>
        <c:ser>
          <c:idx val="3"/>
          <c:order val="1"/>
          <c:tx>
            <c:v>Prodotti petroliferi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101.42191569276675</c:v>
              </c:pt>
              <c:pt idx="2">
                <c:v>111.84984273642975</c:v>
              </c:pt>
              <c:pt idx="3">
                <c:v>109.5060484310723</c:v>
              </c:pt>
              <c:pt idx="4">
                <c:v>111.59693412379544</c:v>
              </c:pt>
              <c:pt idx="5">
                <c:v>115.96679363488533</c:v>
              </c:pt>
              <c:pt idx="6">
                <c:v>112.68624206910876</c:v>
              </c:pt>
              <c:pt idx="7">
                <c:v>109.21128237454127</c:v>
              </c:pt>
              <c:pt idx="8">
                <c:v>103.17913739178306</c:v>
              </c:pt>
              <c:pt idx="9">
                <c:v>88.799852636705396</c:v>
              </c:pt>
              <c:pt idx="10">
                <c:v>87.215662431463983</c:v>
              </c:pt>
              <c:pt idx="11">
                <c:v>77.227932655014641</c:v>
              </c:pt>
              <c:pt idx="12">
                <c:v>85.063923425777148</c:v>
              </c:pt>
              <c:pt idx="13">
                <c:v>74.441143092338962</c:v>
              </c:pt>
              <c:pt idx="14">
                <c:v>57.136941774859018</c:v>
              </c:pt>
              <c:pt idx="15">
                <c:v>45.316212243889368</c:v>
              </c:pt>
              <c:pt idx="16">
                <c:v>46.057143412238545</c:v>
              </c:pt>
              <c:pt idx="17">
                <c:v>35.928901188580177</c:v>
              </c:pt>
              <c:pt idx="18">
                <c:v>31.254734617639102</c:v>
              </c:pt>
              <c:pt idx="19">
                <c:v>24.636674249158343</c:v>
              </c:pt>
              <c:pt idx="20">
                <c:v>21.376401834503138</c:v>
              </c:pt>
              <c:pt idx="21">
                <c:v>17.596369925210947</c:v>
              </c:pt>
              <c:pt idx="22">
                <c:v>17.159271279693353</c:v>
              </c:pt>
              <c:pt idx="23">
                <c:v>12.462079208757352</c:v>
              </c:pt>
              <c:pt idx="24">
                <c:v>11.774747310827296</c:v>
              </c:pt>
              <c:pt idx="25">
                <c:v>10.710790975124613</c:v>
              </c:pt>
              <c:pt idx="26">
                <c:v>9.4618009126502542</c:v>
              </c:pt>
              <c:pt idx="27">
                <c:v>8.9809373109688639</c:v>
              </c:pt>
              <c:pt idx="28">
                <c:v>8.5335187029540993</c:v>
              </c:pt>
              <c:pt idx="29">
                <c:v>7.7407174826478995</c:v>
              </c:pt>
              <c:pt idx="30">
                <c:v>7.3952872265267917</c:v>
              </c:pt>
              <c:pt idx="31">
                <c:v>5.7525219028750163</c:v>
              </c:pt>
              <c:pt idx="32">
                <c:v>9.8307507514993127</c:v>
              </c:pt>
              <c:pt idx="33">
                <c:v>7.8095534917330189</c:v>
              </c:pt>
              <c:pt idx="34">
                <c:v>5.753023423632551</c:v>
              </c:pt>
            </c:numLit>
          </c:val>
          <c:smooth val="1"/>
          <c:extLst>
            <c:ext xmlns:c16="http://schemas.microsoft.com/office/drawing/2014/chart" uri="{C3380CC4-5D6E-409C-BE32-E72D297353CC}">
              <c16:uniqueId val="{00000001-24C1-4FB2-A084-1A5178518936}"/>
            </c:ext>
          </c:extLst>
        </c:ser>
        <c:dLbls>
          <c:showLegendKey val="0"/>
          <c:showVal val="0"/>
          <c:showCatName val="0"/>
          <c:showSerName val="0"/>
          <c:showPercent val="0"/>
          <c:showBubbleSize val="0"/>
        </c:dLbls>
        <c:smooth val="0"/>
        <c:axId val="165640448"/>
        <c:axId val="165650432"/>
      </c:lineChart>
      <c:catAx>
        <c:axId val="16564044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50432"/>
        <c:crosses val="autoZero"/>
        <c:auto val="1"/>
        <c:lblAlgn val="ctr"/>
        <c:lblOffset val="100"/>
        <c:tickLblSkip val="1"/>
        <c:noMultiLvlLbl val="0"/>
      </c:catAx>
      <c:valAx>
        <c:axId val="165650432"/>
        <c:scaling>
          <c:orientation val="minMax"/>
          <c:max val="12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40448"/>
        <c:crosses val="autoZero"/>
        <c:crossBetween val="between"/>
      </c:valAx>
    </c:plotArea>
    <c:legend>
      <c:legendPos val="b"/>
      <c:layout>
        <c:manualLayout>
          <c:xMode val="edge"/>
          <c:yMode val="edge"/>
          <c:x val="0.11658898898366446"/>
          <c:y val="0.64413072459374476"/>
          <c:w val="0.51743589541919277"/>
          <c:h val="0.1255615853135177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80120996580806358"/>
        </c:manualLayout>
      </c:layout>
      <c:lineChart>
        <c:grouping val="standard"/>
        <c:varyColors val="0"/>
        <c:ser>
          <c:idx val="0"/>
          <c:order val="0"/>
          <c:tx>
            <c:v>Totale combustibili - elettricità</c:v>
          </c:tx>
          <c:spPr>
            <a:ln>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97.042508679533128</c:v>
              </c:pt>
              <c:pt idx="2">
                <c:v>99.273667502369705</c:v>
              </c:pt>
              <c:pt idx="3">
                <c:v>97.950003645684347</c:v>
              </c:pt>
              <c:pt idx="4">
                <c:v>101.32029860959209</c:v>
              </c:pt>
              <c:pt idx="5">
                <c:v>110.00095348667642</c:v>
              </c:pt>
              <c:pt idx="6">
                <c:v>108.55838423269562</c:v>
              </c:pt>
              <c:pt idx="7">
                <c:v>112.67015530615336</c:v>
              </c:pt>
              <c:pt idx="8">
                <c:v>116.64731649588037</c:v>
              </c:pt>
              <c:pt idx="9">
                <c:v>117.26035234137066</c:v>
              </c:pt>
              <c:pt idx="10">
                <c:v>123.64815219890855</c:v>
              </c:pt>
              <c:pt idx="11">
                <c:v>123.04409034566697</c:v>
              </c:pt>
              <c:pt idx="12">
                <c:v>130.08194376672105</c:v>
              </c:pt>
              <c:pt idx="13">
                <c:v>136.17191925650474</c:v>
              </c:pt>
              <c:pt idx="14">
                <c:v>138.04669841216423</c:v>
              </c:pt>
              <c:pt idx="15">
                <c:v>141.94180366026708</c:v>
              </c:pt>
              <c:pt idx="16">
                <c:v>147.0413308430505</c:v>
              </c:pt>
              <c:pt idx="17">
                <c:v>149.06031083665653</c:v>
              </c:pt>
              <c:pt idx="18">
                <c:v>146.57221539824897</c:v>
              </c:pt>
              <c:pt idx="19">
                <c:v>127.1159832410695</c:v>
              </c:pt>
              <c:pt idx="20">
                <c:v>129.70099779576313</c:v>
              </c:pt>
              <c:pt idx="21">
                <c:v>128.16958601852008</c:v>
              </c:pt>
              <c:pt idx="22">
                <c:v>122.02486917601925</c:v>
              </c:pt>
              <c:pt idx="23">
                <c:v>108.24188274357378</c:v>
              </c:pt>
              <c:pt idx="24">
                <c:v>98.809712103111181</c:v>
              </c:pt>
              <c:pt idx="25">
                <c:v>107.71785768370043</c:v>
              </c:pt>
              <c:pt idx="26">
                <c:v>111.85498028526078</c:v>
              </c:pt>
              <c:pt idx="27">
                <c:v>117.49451362195937</c:v>
              </c:pt>
              <c:pt idx="28">
                <c:v>108.09735644530072</c:v>
              </c:pt>
              <c:pt idx="29">
                <c:v>109.7821491575889</c:v>
              </c:pt>
              <c:pt idx="30">
                <c:v>101.69024340399228</c:v>
              </c:pt>
              <c:pt idx="31">
                <c:v>106.40412470225975</c:v>
              </c:pt>
              <c:pt idx="32">
                <c:v>111.73631216022501</c:v>
              </c:pt>
              <c:pt idx="33">
                <c:v>91.191311283358857</c:v>
              </c:pt>
              <c:pt idx="34">
                <c:v>85.600011971601901</c:v>
              </c:pt>
            </c:numLit>
          </c:val>
          <c:smooth val="1"/>
          <c:extLst>
            <c:ext xmlns:c16="http://schemas.microsoft.com/office/drawing/2014/chart" uri="{C3380CC4-5D6E-409C-BE32-E72D297353CC}">
              <c16:uniqueId val="{00000000-6ADC-4939-A078-8F71A9DEE6F2}"/>
            </c:ext>
          </c:extLst>
        </c:ser>
        <c:ser>
          <c:idx val="3"/>
          <c:order val="1"/>
          <c:tx>
            <c:v>Totale combustibili - emissioni CO2</c:v>
          </c:tx>
          <c:spPr>
            <a:ln>
              <a:solidFill>
                <a:srgbClr val="00B05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100</c:v>
              </c:pt>
              <c:pt idx="1">
                <c:v>96.968147110747864</c:v>
              </c:pt>
              <c:pt idx="2">
                <c:v>96.995989838865313</c:v>
              </c:pt>
              <c:pt idx="3">
                <c:v>93.858105242166133</c:v>
              </c:pt>
              <c:pt idx="4">
                <c:v>96.82395475477648</c:v>
              </c:pt>
              <c:pt idx="5">
                <c:v>105.57135340075521</c:v>
              </c:pt>
              <c:pt idx="6">
                <c:v>103.154914691644</c:v>
              </c:pt>
              <c:pt idx="7">
                <c:v>104.86609681220753</c:v>
              </c:pt>
              <c:pt idx="8">
                <c:v>108.6272755382298</c:v>
              </c:pt>
              <c:pt idx="9">
                <c:v>106.1811481016338</c:v>
              </c:pt>
              <c:pt idx="10">
                <c:v>110.53015456493853</c:v>
              </c:pt>
              <c:pt idx="11">
                <c:v>109.16690990480788</c:v>
              </c:pt>
              <c:pt idx="12">
                <c:v>117.39969092858848</c:v>
              </c:pt>
              <c:pt idx="13">
                <c:v>115.68712184881953</c:v>
              </c:pt>
              <c:pt idx="14">
                <c:v>116.36832180728811</c:v>
              </c:pt>
              <c:pt idx="15">
                <c:v>114.50891152048348</c:v>
              </c:pt>
              <c:pt idx="16">
                <c:v>116.65038459607602</c:v>
              </c:pt>
              <c:pt idx="17">
                <c:v>115.44316619347066</c:v>
              </c:pt>
              <c:pt idx="18">
                <c:v>112.24040407186382</c:v>
              </c:pt>
              <c:pt idx="19">
                <c:v>94.745968128319376</c:v>
              </c:pt>
              <c:pt idx="20">
                <c:v>96.285962470111286</c:v>
              </c:pt>
              <c:pt idx="21">
                <c:v>94.600272114791494</c:v>
              </c:pt>
              <c:pt idx="22">
                <c:v>91.600780446310708</c:v>
              </c:pt>
              <c:pt idx="23">
                <c:v>77.638456286300169</c:v>
              </c:pt>
              <c:pt idx="24">
                <c:v>71.990707156704531</c:v>
              </c:pt>
              <c:pt idx="25">
                <c:v>74.799010663273449</c:v>
              </c:pt>
              <c:pt idx="26">
                <c:v>74.257309022775814</c:v>
              </c:pt>
              <c:pt idx="27">
                <c:v>74.608046593758019</c:v>
              </c:pt>
              <c:pt idx="28">
                <c:v>68.538902735503044</c:v>
              </c:pt>
              <c:pt idx="29">
                <c:v>65.125274664440923</c:v>
              </c:pt>
              <c:pt idx="30">
                <c:v>58.118660897134212</c:v>
              </c:pt>
              <c:pt idx="31">
                <c:v>61.662906334749209</c:v>
              </c:pt>
              <c:pt idx="32">
                <c:v>68.581110600753561</c:v>
              </c:pt>
              <c:pt idx="33">
                <c:v>53.363048595917107</c:v>
              </c:pt>
              <c:pt idx="34">
                <c:v>46.152049550464255</c:v>
              </c:pt>
            </c:numLit>
          </c:val>
          <c:smooth val="1"/>
          <c:extLst>
            <c:ext xmlns:c16="http://schemas.microsoft.com/office/drawing/2014/chart" uri="{C3380CC4-5D6E-409C-BE32-E72D297353CC}">
              <c16:uniqueId val="{00000001-6ADC-4939-A078-8F71A9DEE6F2}"/>
            </c:ext>
          </c:extLst>
        </c:ser>
        <c:dLbls>
          <c:showLegendKey val="0"/>
          <c:showVal val="0"/>
          <c:showCatName val="0"/>
          <c:showSerName val="0"/>
          <c:showPercent val="0"/>
          <c:showBubbleSize val="0"/>
        </c:dLbls>
        <c:smooth val="0"/>
        <c:axId val="165664256"/>
        <c:axId val="165668352"/>
      </c:lineChart>
      <c:catAx>
        <c:axId val="16566425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68352"/>
        <c:crosses val="autoZero"/>
        <c:auto val="1"/>
        <c:lblAlgn val="ctr"/>
        <c:lblOffset val="100"/>
        <c:tickLblSkip val="1"/>
        <c:noMultiLvlLbl val="0"/>
      </c:catAx>
      <c:valAx>
        <c:axId val="165668352"/>
        <c:scaling>
          <c:orientation val="minMax"/>
          <c:max val="16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64256"/>
        <c:crosses val="autoZero"/>
        <c:crossBetween val="between"/>
      </c:valAx>
    </c:plotArea>
    <c:legend>
      <c:legendPos val="b"/>
      <c:layout>
        <c:manualLayout>
          <c:xMode val="edge"/>
          <c:yMode val="edge"/>
          <c:x val="0.14158326024249776"/>
          <c:y val="0.45295933527386689"/>
          <c:w val="0.55050677427293426"/>
          <c:h val="0.1154511808717416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26101971807299"/>
          <c:y val="4.0372568708062155E-2"/>
          <c:w val="0.84510651843576756"/>
          <c:h val="0.79672510877698177"/>
        </c:manualLayout>
      </c:layout>
      <c:lineChart>
        <c:grouping val="standard"/>
        <c:varyColors val="0"/>
        <c:ser>
          <c:idx val="1"/>
          <c:order val="0"/>
          <c:tx>
            <c:v>Produzione termoelettrica fossile</c:v>
          </c:tx>
          <c:spPr>
            <a:ln>
              <a:solidFill>
                <a:schemeClr val="tx1">
                  <a:lumMod val="65000"/>
                  <a:lumOff val="3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709.16914863372835</c:v>
              </c:pt>
              <c:pt idx="1">
                <c:v>708.83810088042674</c:v>
              </c:pt>
              <c:pt idx="2">
                <c:v>693.05847536592046</c:v>
              </c:pt>
              <c:pt idx="3">
                <c:v>679.75185739219626</c:v>
              </c:pt>
              <c:pt idx="4">
                <c:v>678.21687089051716</c:v>
              </c:pt>
              <c:pt idx="5">
                <c:v>681.46768359337227</c:v>
              </c:pt>
              <c:pt idx="6">
                <c:v>675.36494355402931</c:v>
              </c:pt>
              <c:pt idx="7">
                <c:v>662.14618496906257</c:v>
              </c:pt>
              <c:pt idx="8">
                <c:v>663.39838904134638</c:v>
              </c:pt>
              <c:pt idx="9">
                <c:v>646.60488779180412</c:v>
              </c:pt>
              <c:pt idx="10">
                <c:v>638.10421597110633</c:v>
              </c:pt>
              <c:pt idx="11">
                <c:v>634.67017617650799</c:v>
              </c:pt>
              <c:pt idx="12">
                <c:v>647.40499291304309</c:v>
              </c:pt>
              <c:pt idx="13">
                <c:v>611.34480424821641</c:v>
              </c:pt>
              <c:pt idx="14">
                <c:v>608.7583289666477</c:v>
              </c:pt>
              <c:pt idx="15">
                <c:v>583.10731930340819</c:v>
              </c:pt>
              <c:pt idx="16">
                <c:v>574.00775122847188</c:v>
              </c:pt>
              <c:pt idx="17">
                <c:v>560.5503156669198</c:v>
              </c:pt>
              <c:pt idx="18">
                <c:v>555.58716979680321</c:v>
              </c:pt>
              <c:pt idx="19">
                <c:v>546.65376851773942</c:v>
              </c:pt>
              <c:pt idx="20">
                <c:v>548.71268496992889</c:v>
              </c:pt>
              <c:pt idx="21">
                <c:v>549.31637291011464</c:v>
              </c:pt>
              <c:pt idx="22">
                <c:v>564.60606569377455</c:v>
              </c:pt>
              <c:pt idx="23">
                <c:v>557.92508330447913</c:v>
              </c:pt>
              <c:pt idx="24">
                <c:v>577.99620392705185</c:v>
              </c:pt>
              <c:pt idx="25">
                <c:v>547.60646240535948</c:v>
              </c:pt>
              <c:pt idx="26">
                <c:v>521.69420556750106</c:v>
              </c:pt>
              <c:pt idx="27">
                <c:v>496.11836645096122</c:v>
              </c:pt>
              <c:pt idx="28">
                <c:v>499.26106708855639</c:v>
              </c:pt>
              <c:pt idx="29">
                <c:v>467.27586408808406</c:v>
              </c:pt>
              <c:pt idx="30">
                <c:v>454.39897196236006</c:v>
              </c:pt>
              <c:pt idx="31">
                <c:v>456.77358441137125</c:v>
              </c:pt>
              <c:pt idx="32">
                <c:v>477.35559320927973</c:v>
              </c:pt>
              <c:pt idx="33">
                <c:v>460.20734040195129</c:v>
              </c:pt>
              <c:pt idx="34">
                <c:v>422.3516112838912</c:v>
              </c:pt>
            </c:numLit>
          </c:val>
          <c:smooth val="1"/>
          <c:extLst>
            <c:ext xmlns:c16="http://schemas.microsoft.com/office/drawing/2014/chart" uri="{C3380CC4-5D6E-409C-BE32-E72D297353CC}">
              <c16:uniqueId val="{00000000-9F00-4417-9E3E-7FCAF029549D}"/>
            </c:ext>
          </c:extLst>
        </c:ser>
        <c:ser>
          <c:idx val="3"/>
          <c:order val="1"/>
          <c:tx>
            <c:v>Produzione termoelettrica (con bioenergie)</c:v>
          </c:tx>
          <c:spPr>
            <a:ln>
              <a:solidFill>
                <a:schemeClr val="accent1">
                  <a:lumMod val="7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708.96430485884855</c:v>
              </c:pt>
              <c:pt idx="1">
                <c:v>708.42104089505153</c:v>
              </c:pt>
              <c:pt idx="2">
                <c:v>692.69823751163017</c:v>
              </c:pt>
              <c:pt idx="3">
                <c:v>679.34705320771866</c:v>
              </c:pt>
              <c:pt idx="4">
                <c:v>677.5022253034108</c:v>
              </c:pt>
              <c:pt idx="5">
                <c:v>680.41520372675518</c:v>
              </c:pt>
              <c:pt idx="6">
                <c:v>673.6757635446545</c:v>
              </c:pt>
              <c:pt idx="7">
                <c:v>659.8581428037412</c:v>
              </c:pt>
              <c:pt idx="8">
                <c:v>660.21973933186496</c:v>
              </c:pt>
              <c:pt idx="9">
                <c:v>641.97865987846069</c:v>
              </c:pt>
              <c:pt idx="10">
                <c:v>633.74933473340207</c:v>
              </c:pt>
              <c:pt idx="11">
                <c:v>629.00576676883998</c:v>
              </c:pt>
              <c:pt idx="12">
                <c:v>639.84430013663234</c:v>
              </c:pt>
              <c:pt idx="13">
                <c:v>602.31243247863199</c:v>
              </c:pt>
              <c:pt idx="14">
                <c:v>597.63099970252586</c:v>
              </c:pt>
              <c:pt idx="15">
                <c:v>571.94377387630698</c:v>
              </c:pt>
              <c:pt idx="16">
                <c:v>562.43342162720228</c:v>
              </c:pt>
              <c:pt idx="17">
                <c:v>549.07361732759318</c:v>
              </c:pt>
              <c:pt idx="18">
                <c:v>542.90262198517496</c:v>
              </c:pt>
              <c:pt idx="19">
                <c:v>528.42693514697487</c:v>
              </c:pt>
              <c:pt idx="20">
                <c:v>526.3129167115593</c:v>
              </c:pt>
              <c:pt idx="21">
                <c:v>523.27715367380472</c:v>
              </c:pt>
              <c:pt idx="22">
                <c:v>532.20039547814781</c:v>
              </c:pt>
              <c:pt idx="23">
                <c:v>508.5175238657676</c:v>
              </c:pt>
              <c:pt idx="24">
                <c:v>516.53669026369857</c:v>
              </c:pt>
              <c:pt idx="25">
                <c:v>492.30303813442424</c:v>
              </c:pt>
              <c:pt idx="26">
                <c:v>470.66104108873679</c:v>
              </c:pt>
              <c:pt idx="27">
                <c:v>450.18648326345703</c:v>
              </c:pt>
              <c:pt idx="28">
                <c:v>449.51733448035259</c:v>
              </c:pt>
              <c:pt idx="29">
                <c:v>420.57379487934037</c:v>
              </c:pt>
              <c:pt idx="30">
                <c:v>405.19183200859817</c:v>
              </c:pt>
              <c:pt idx="31">
                <c:v>410.85624873584749</c:v>
              </c:pt>
              <c:pt idx="32">
                <c:v>435.14555352238449</c:v>
              </c:pt>
              <c:pt idx="33">
                <c:v>414.8695322013341</c:v>
              </c:pt>
              <c:pt idx="34">
                <c:v>382.24475644011648</c:v>
              </c:pt>
            </c:numLit>
          </c:val>
          <c:smooth val="1"/>
          <c:extLst>
            <c:ext xmlns:c16="http://schemas.microsoft.com/office/drawing/2014/chart" uri="{C3380CC4-5D6E-409C-BE32-E72D297353CC}">
              <c16:uniqueId val="{00000001-9F00-4417-9E3E-7FCAF029549D}"/>
            </c:ext>
          </c:extLst>
        </c:ser>
        <c:ser>
          <c:idx val="0"/>
          <c:order val="2"/>
          <c:tx>
            <c:v>Produzione elettrica totale (no pomp+acc)</c:v>
          </c:tx>
          <c:spPr>
            <a:ln w="25400">
              <a:solidFill>
                <a:srgbClr val="7030A0"/>
              </a:solidFill>
              <a:prstDash val="solid"/>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593.03378797824359</c:v>
              </c:pt>
              <c:pt idx="1">
                <c:v>561.09539502567782</c:v>
              </c:pt>
              <c:pt idx="2">
                <c:v>550.62336143084553</c:v>
              </c:pt>
              <c:pt idx="3">
                <c:v>539.89765718487138</c:v>
              </c:pt>
              <c:pt idx="4">
                <c:v>535.0568549944993</c:v>
              </c:pt>
              <c:pt idx="5">
                <c:v>562.20043880290734</c:v>
              </c:pt>
              <c:pt idx="6">
                <c:v>544.66620210552173</c:v>
              </c:pt>
              <c:pt idx="7">
                <c:v>537.7001993375161</c:v>
              </c:pt>
              <c:pt idx="8">
                <c:v>541.3328657625508</c:v>
              </c:pt>
              <c:pt idx="9">
                <c:v>517.71649794022892</c:v>
              </c:pt>
              <c:pt idx="10">
                <c:v>517.56928550281634</c:v>
              </c:pt>
              <c:pt idx="11">
                <c:v>507.51711738702704</c:v>
              </c:pt>
              <c:pt idx="12">
                <c:v>534.69944560910687</c:v>
              </c:pt>
              <c:pt idx="13">
                <c:v>510.80762687916723</c:v>
              </c:pt>
              <c:pt idx="14">
                <c:v>497.31009128591432</c:v>
              </c:pt>
              <c:pt idx="15">
                <c:v>487.61673063162397</c:v>
              </c:pt>
              <c:pt idx="16">
                <c:v>479.21320165023036</c:v>
              </c:pt>
              <c:pt idx="17">
                <c:v>473.43846458236317</c:v>
              </c:pt>
              <c:pt idx="18">
                <c:v>452.51697596031028</c:v>
              </c:pt>
              <c:pt idx="19">
                <c:v>415.35373573228645</c:v>
              </c:pt>
              <c:pt idx="20">
                <c:v>407.36304443551535</c:v>
              </c:pt>
              <c:pt idx="21">
                <c:v>397.73604730598964</c:v>
              </c:pt>
              <c:pt idx="22">
                <c:v>389.46372855491978</c:v>
              </c:pt>
              <c:pt idx="23">
                <c:v>340.86702405386484</c:v>
              </c:pt>
              <c:pt idx="24">
                <c:v>327.19544836891782</c:v>
              </c:pt>
              <c:pt idx="25">
                <c:v>335.80007054950579</c:v>
              </c:pt>
              <c:pt idx="26">
                <c:v>325.98029179355058</c:v>
              </c:pt>
              <c:pt idx="27">
                <c:v>320.76804897053978</c:v>
              </c:pt>
              <c:pt idx="28">
                <c:v>300.8258447874249</c:v>
              </c:pt>
              <c:pt idx="29">
                <c:v>281.9021120402586</c:v>
              </c:pt>
              <c:pt idx="30">
                <c:v>263.70148073625455</c:v>
              </c:pt>
              <c:pt idx="31">
                <c:v>271.60144209981274</c:v>
              </c:pt>
              <c:pt idx="32">
                <c:v>307.33287136375128</c:v>
              </c:pt>
              <c:pt idx="33">
                <c:v>256.32906912354491</c:v>
              </c:pt>
              <c:pt idx="34">
                <c:v>215.91253169184253</c:v>
              </c:pt>
            </c:numLit>
          </c:val>
          <c:smooth val="1"/>
          <c:extLst>
            <c:ext xmlns:c16="http://schemas.microsoft.com/office/drawing/2014/chart" uri="{C3380CC4-5D6E-409C-BE32-E72D297353CC}">
              <c16:uniqueId val="{00000002-9F00-4417-9E3E-7FCAF029549D}"/>
            </c:ext>
          </c:extLst>
        </c:ser>
        <c:ser>
          <c:idx val="2"/>
          <c:order val="3"/>
          <c:tx>
            <c:v>Consumi elettrici</c:v>
          </c:tx>
          <c:spPr>
            <a:ln>
              <a:solidFill>
                <a:schemeClr val="accent6">
                  <a:lumMod val="7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577.77003540666203</c:v>
              </c:pt>
              <c:pt idx="1">
                <c:v>547.95645038574719</c:v>
              </c:pt>
              <c:pt idx="2">
                <c:v>537.58381298240238</c:v>
              </c:pt>
              <c:pt idx="3">
                <c:v>518.15923323356321</c:v>
              </c:pt>
              <c:pt idx="4">
                <c:v>517.38031201402998</c:v>
              </c:pt>
              <c:pt idx="5">
                <c:v>548.11219310472268</c:v>
              </c:pt>
              <c:pt idx="6">
                <c:v>530.14783487066802</c:v>
              </c:pt>
              <c:pt idx="7">
                <c:v>522.54450768808999</c:v>
              </c:pt>
              <c:pt idx="8">
                <c:v>526.4837446954416</c:v>
              </c:pt>
              <c:pt idx="9">
                <c:v>502.16424988386592</c:v>
              </c:pt>
              <c:pt idx="10">
                <c:v>500.19297350841993</c:v>
              </c:pt>
              <c:pt idx="11">
                <c:v>483.34468852732414</c:v>
              </c:pt>
              <c:pt idx="12">
                <c:v>510.02548274700109</c:v>
              </c:pt>
              <c:pt idx="13">
                <c:v>487.78637558923225</c:v>
              </c:pt>
              <c:pt idx="14">
                <c:v>483.04194201361975</c:v>
              </c:pt>
              <c:pt idx="15">
                <c:v>467.14999905583437</c:v>
              </c:pt>
              <c:pt idx="16">
                <c:v>464.31207518609426</c:v>
              </c:pt>
              <c:pt idx="17">
                <c:v>457.50997854080816</c:v>
              </c:pt>
              <c:pt idx="18">
                <c:v>444.70023242580504</c:v>
              </c:pt>
              <c:pt idx="19">
                <c:v>399.3158978075362</c:v>
              </c:pt>
              <c:pt idx="20">
                <c:v>392.75865789104358</c:v>
              </c:pt>
              <c:pt idx="21">
                <c:v>381.08161740581158</c:v>
              </c:pt>
              <c:pt idx="22">
                <c:v>376.88875791521474</c:v>
              </c:pt>
              <c:pt idx="23">
                <c:v>330.11106225365205</c:v>
              </c:pt>
              <c:pt idx="24">
                <c:v>312.61915584070766</c:v>
              </c:pt>
              <c:pt idx="25">
                <c:v>318.15129188032125</c:v>
              </c:pt>
              <c:pt idx="26">
                <c:v>317.63427507602239</c:v>
              </c:pt>
              <c:pt idx="27">
                <c:v>312.39874110051488</c:v>
              </c:pt>
              <c:pt idx="28">
                <c:v>285.50826902086607</c:v>
              </c:pt>
              <c:pt idx="29">
                <c:v>272.76178671426311</c:v>
              </c:pt>
              <c:pt idx="30">
                <c:v>258.84494133941354</c:v>
              </c:pt>
              <c:pt idx="31">
                <c:v>259.04730315395756</c:v>
              </c:pt>
              <c:pt idx="32">
                <c:v>293.00455999029657</c:v>
              </c:pt>
              <c:pt idx="33">
                <c:v>234.72246427914064</c:v>
              </c:pt>
              <c:pt idx="34">
                <c:v>198.93896396123793</c:v>
              </c:pt>
            </c:numLit>
          </c:val>
          <c:smooth val="1"/>
          <c:extLst>
            <c:ext xmlns:c16="http://schemas.microsoft.com/office/drawing/2014/chart" uri="{C3380CC4-5D6E-409C-BE32-E72D297353CC}">
              <c16:uniqueId val="{00000003-9F00-4417-9E3E-7FCAF029549D}"/>
            </c:ext>
          </c:extLst>
        </c:ser>
        <c:ser>
          <c:idx val="4"/>
          <c:order val="4"/>
          <c:tx>
            <c:v>Produzione elettrica e calore (no pomp+acc)</c:v>
          </c:tx>
          <c:spPr>
            <a:ln w="28575">
              <a:solidFill>
                <a:srgbClr val="FFC000"/>
              </a:solidFill>
              <a:prstDash val="sysDash"/>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593.03378797824359</c:v>
              </c:pt>
              <c:pt idx="1">
                <c:v>561.09539502567782</c:v>
              </c:pt>
              <c:pt idx="2">
                <c:v>550.62336143084553</c:v>
              </c:pt>
              <c:pt idx="3">
                <c:v>539.89765718487138</c:v>
              </c:pt>
              <c:pt idx="4">
                <c:v>535.0568549944993</c:v>
              </c:pt>
              <c:pt idx="5">
                <c:v>562.20043880290734</c:v>
              </c:pt>
              <c:pt idx="6">
                <c:v>544.66620210552173</c:v>
              </c:pt>
              <c:pt idx="7">
                <c:v>537.7001993375161</c:v>
              </c:pt>
              <c:pt idx="8">
                <c:v>541.3328657625508</c:v>
              </c:pt>
              <c:pt idx="9">
                <c:v>517.71649794022892</c:v>
              </c:pt>
              <c:pt idx="10">
                <c:v>517.56928550281634</c:v>
              </c:pt>
              <c:pt idx="11">
                <c:v>507.51711738702704</c:v>
              </c:pt>
              <c:pt idx="12">
                <c:v>534.69944560910687</c:v>
              </c:pt>
              <c:pt idx="13">
                <c:v>510.80762687916723</c:v>
              </c:pt>
              <c:pt idx="14">
                <c:v>479.98735280264907</c:v>
              </c:pt>
              <c:pt idx="15">
                <c:v>450.39296217940154</c:v>
              </c:pt>
              <c:pt idx="16">
                <c:v>443.54314973069307</c:v>
              </c:pt>
              <c:pt idx="17">
                <c:v>439.42888013725644</c:v>
              </c:pt>
              <c:pt idx="18">
                <c:v>422.70013440134949</c:v>
              </c:pt>
              <c:pt idx="19">
                <c:v>392.38882638454493</c:v>
              </c:pt>
              <c:pt idx="20">
                <c:v>382.27311196070917</c:v>
              </c:pt>
              <c:pt idx="21">
                <c:v>369.77155588839383</c:v>
              </c:pt>
              <c:pt idx="22">
                <c:v>363.83343981804967</c:v>
              </c:pt>
              <c:pt idx="23">
                <c:v>320.29176094403186</c:v>
              </c:pt>
              <c:pt idx="24">
                <c:v>307.30457167193038</c:v>
              </c:pt>
              <c:pt idx="25">
                <c:v>315.96173962625386</c:v>
              </c:pt>
              <c:pt idx="26">
                <c:v>308.06424190877243</c:v>
              </c:pt>
              <c:pt idx="27">
                <c:v>303.22560580227633</c:v>
              </c:pt>
              <c:pt idx="28">
                <c:v>285.83333563138297</c:v>
              </c:pt>
              <c:pt idx="29">
                <c:v>270.69681755201674</c:v>
              </c:pt>
              <c:pt idx="30">
                <c:v>255.15960876547709</c:v>
              </c:pt>
              <c:pt idx="31">
                <c:v>261.91078050561134</c:v>
              </c:pt>
              <c:pt idx="32">
                <c:v>293.36212709853498</c:v>
              </c:pt>
              <c:pt idx="33">
                <c:v>251.2680045586894</c:v>
              </c:pt>
              <c:pt idx="34">
                <c:v>217.69508733083356</c:v>
              </c:pt>
            </c:numLit>
          </c:val>
          <c:smooth val="1"/>
          <c:extLst>
            <c:ext xmlns:c16="http://schemas.microsoft.com/office/drawing/2014/chart" uri="{C3380CC4-5D6E-409C-BE32-E72D297353CC}">
              <c16:uniqueId val="{00000004-9F00-4417-9E3E-7FCAF029549D}"/>
            </c:ext>
          </c:extLst>
        </c:ser>
        <c:dLbls>
          <c:showLegendKey val="0"/>
          <c:showVal val="0"/>
          <c:showCatName val="0"/>
          <c:showSerName val="0"/>
          <c:showPercent val="0"/>
          <c:showBubbleSize val="0"/>
        </c:dLbls>
        <c:smooth val="0"/>
        <c:axId val="166802944"/>
        <c:axId val="166804480"/>
      </c:lineChart>
      <c:catAx>
        <c:axId val="166802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1050" b="1" i="0" u="none" strike="noStrike" baseline="0">
                <a:solidFill>
                  <a:srgbClr val="000000"/>
                </a:solidFill>
                <a:latin typeface="Calibri"/>
                <a:ea typeface="Calibri"/>
                <a:cs typeface="Calibri"/>
              </a:defRPr>
            </a:pPr>
            <a:endParaRPr lang="it-IT"/>
          </a:p>
        </c:txPr>
        <c:crossAx val="166804480"/>
        <c:crosses val="autoZero"/>
        <c:auto val="1"/>
        <c:lblAlgn val="ctr"/>
        <c:lblOffset val="100"/>
        <c:tickLblSkip val="1"/>
        <c:tickMarkSkip val="1"/>
        <c:noMultiLvlLbl val="1"/>
      </c:catAx>
      <c:valAx>
        <c:axId val="166804480"/>
        <c:scaling>
          <c:orientation val="minMax"/>
          <c:min val="100"/>
        </c:scaling>
        <c:delete val="0"/>
        <c:axPos val="l"/>
        <c:majorGridlines>
          <c:spPr>
            <a:ln w="3175">
              <a:solidFill>
                <a:srgbClr val="C0C0C0"/>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Calibri"/>
                <a:ea typeface="Calibri"/>
                <a:cs typeface="Calibri"/>
              </a:defRPr>
            </a:pPr>
            <a:endParaRPr lang="it-IT"/>
          </a:p>
        </c:txPr>
        <c:crossAx val="166802944"/>
        <c:crosses val="autoZero"/>
        <c:crossBetween val="between"/>
      </c:valAx>
      <c:spPr>
        <a:noFill/>
        <a:ln w="25400">
          <a:noFill/>
        </a:ln>
      </c:spPr>
    </c:plotArea>
    <c:legend>
      <c:legendPos val="b"/>
      <c:layout>
        <c:manualLayout>
          <c:xMode val="edge"/>
          <c:yMode val="edge"/>
          <c:x val="0.11726571211607033"/>
          <c:y val="0.52843866078079449"/>
          <c:w val="0.56988522646492112"/>
          <c:h val="0.2959317158850222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solidFill>
      <a:srgbClr val="FFFFFF"/>
    </a:solidFill>
    <a:ln>
      <a:noFill/>
    </a:ln>
  </c:spPr>
  <c:txPr>
    <a:bodyPr/>
    <a:lstStyle/>
    <a:p>
      <a:pPr>
        <a:defRPr sz="1050" b="0" i="0" u="none" strike="noStrike" baseline="0">
          <a:solidFill>
            <a:srgbClr val="000000"/>
          </a:solidFill>
          <a:latin typeface="Calibri"/>
          <a:ea typeface="Calibri"/>
          <a:cs typeface="Calibri"/>
        </a:defRPr>
      </a:pPr>
      <a:endParaRPr lang="it-IT"/>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267949790248"/>
          <c:y val="3.2300805768829856E-2"/>
          <c:w val="0.86215330833808168"/>
          <c:h val="0.66905055590296292"/>
        </c:manualLayout>
      </c:layout>
      <c:lineChart>
        <c:grouping val="standard"/>
        <c:varyColors val="0"/>
        <c:ser>
          <c:idx val="0"/>
          <c:order val="0"/>
          <c:tx>
            <c:strRef>
              <c:f>'23'!$A$18</c:f>
              <c:strCache>
                <c:ptCount val="1"/>
                <c:pt idx="0">
                  <c:v>Rend. elettrico - parco termoelettrico</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'23'!$B$18:$T$18</c:f>
              <c:numCache>
                <c:formatCode>_(* #,##0.000_);_(* \(#,##0.000\);_(* "-"??_);_(@_)</c:formatCode>
                <c:ptCount val="19"/>
                <c:pt idx="0">
                  <c:v>0.40702275069904564</c:v>
                </c:pt>
                <c:pt idx="1">
                  <c:v>0.41047048525408614</c:v>
                </c:pt>
                <c:pt idx="2">
                  <c:v>0.41496791524857513</c:v>
                </c:pt>
                <c:pt idx="3">
                  <c:v>0.41998888298879389</c:v>
                </c:pt>
                <c:pt idx="4">
                  <c:v>0.41679473353926416</c:v>
                </c:pt>
                <c:pt idx="5">
                  <c:v>0.41630068344651383</c:v>
                </c:pt>
                <c:pt idx="6">
                  <c:v>0.41217846699785465</c:v>
                </c:pt>
                <c:pt idx="7">
                  <c:v>0.40964893699794647</c:v>
                </c:pt>
                <c:pt idx="8">
                  <c:v>0.4037577639024072</c:v>
                </c:pt>
                <c:pt idx="9">
                  <c:v>0.39550333431500373</c:v>
                </c:pt>
                <c:pt idx="10">
                  <c:v>0.40932931845523768</c:v>
                </c:pt>
                <c:pt idx="11">
                  <c:v>0.41940434400834975</c:v>
                </c:pt>
                <c:pt idx="12">
                  <c:v>0.42842166174604429</c:v>
                </c:pt>
                <c:pt idx="13">
                  <c:v>0.42374105813381252</c:v>
                </c:pt>
                <c:pt idx="14">
                  <c:v>0.43047565006585176</c:v>
                </c:pt>
                <c:pt idx="15">
                  <c:v>0.42759274687991955</c:v>
                </c:pt>
                <c:pt idx="16">
                  <c:v>0.43331764241954573</c:v>
                </c:pt>
                <c:pt idx="17">
                  <c:v>0.43569577498609607</c:v>
                </c:pt>
                <c:pt idx="18">
                  <c:v>0.43362702056282326</c:v>
                </c:pt>
              </c:numCache>
            </c:numRef>
          </c:val>
          <c:smooth val="1"/>
          <c:extLst>
            <c:ext xmlns:c16="http://schemas.microsoft.com/office/drawing/2014/chart" uri="{C3380CC4-5D6E-409C-BE32-E72D297353CC}">
              <c16:uniqueId val="{00000000-16D2-4465-A624-D31428B62ACB}"/>
            </c:ext>
          </c:extLst>
        </c:ser>
        <c:ser>
          <c:idx val="1"/>
          <c:order val="1"/>
          <c:tx>
            <c:strRef>
              <c:f>'23'!$A$19</c:f>
              <c:strCache>
                <c:ptCount val="1"/>
                <c:pt idx="0">
                  <c:v>Rend. elettrico equivalente - parco termoelettrico</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'23'!$B$19:$T$19</c:f>
              <c:numCache>
                <c:formatCode>_(* #,##0.000_);_(* \(#,##0.000\);_(* "-"??_);_(@_)</c:formatCode>
                <c:ptCount val="19"/>
                <c:pt idx="0">
                  <c:v>0.45015807893183429</c:v>
                </c:pt>
                <c:pt idx="1">
                  <c:v>0.45692599810435203</c:v>
                </c:pt>
                <c:pt idx="2">
                  <c:v>0.4605413645929482</c:v>
                </c:pt>
                <c:pt idx="3">
                  <c:v>0.46620280435460959</c:v>
                </c:pt>
                <c:pt idx="4">
                  <c:v>0.46603970317421783</c:v>
                </c:pt>
                <c:pt idx="5">
                  <c:v>0.46959963026063073</c:v>
                </c:pt>
                <c:pt idx="6">
                  <c:v>0.46975439745608444</c:v>
                </c:pt>
                <c:pt idx="7">
                  <c:v>0.46420751936101312</c:v>
                </c:pt>
                <c:pt idx="8">
                  <c:v>0.47011993531177143</c:v>
                </c:pt>
                <c:pt idx="9">
                  <c:v>0.46094765779111235</c:v>
                </c:pt>
                <c:pt idx="10">
                  <c:v>0.47758287781958286</c:v>
                </c:pt>
                <c:pt idx="11">
                  <c:v>0.49025268281130641</c:v>
                </c:pt>
                <c:pt idx="12">
                  <c:v>0.49843995171338923</c:v>
                </c:pt>
                <c:pt idx="13">
                  <c:v>0.49704525429314655</c:v>
                </c:pt>
                <c:pt idx="14">
                  <c:v>0.5058564901157655</c:v>
                </c:pt>
                <c:pt idx="15">
                  <c:v>0.50735750300621152</c:v>
                </c:pt>
                <c:pt idx="16">
                  <c:v>0.5082846073307804</c:v>
                </c:pt>
                <c:pt idx="17">
                  <c:v>0.5062611789923851</c:v>
                </c:pt>
                <c:pt idx="18">
                  <c:v>0.51219513721535048</c:v>
                </c:pt>
              </c:numCache>
            </c:numRef>
          </c:val>
          <c:smooth val="1"/>
          <c:extLst>
            <c:ext xmlns:c16="http://schemas.microsoft.com/office/drawing/2014/chart" uri="{C3380CC4-5D6E-409C-BE32-E72D297353CC}">
              <c16:uniqueId val="{00000001-16D2-4465-A624-D31428B62ACB}"/>
            </c:ext>
          </c:extLst>
        </c:ser>
        <c:ser>
          <c:idx val="3"/>
          <c:order val="2"/>
          <c:tx>
            <c:strRef>
              <c:f>'23'!$A$14</c:f>
              <c:strCache>
                <c:ptCount val="1"/>
                <c:pt idx="0">
                  <c:v>Rend. elettrico equivalente - centrali cogenerative</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'23'!$B$14:$T$14</c:f>
              <c:numCache>
                <c:formatCode>_(* #,##0.000_);_(* \(#,##0.000\);_(* "-"??_);_(@_)</c:formatCode>
                <c:ptCount val="19"/>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pt idx="18">
                  <c:v>0.55763835083353497</c:v>
                </c:pt>
              </c:numCache>
            </c:numRef>
          </c:val>
          <c:smooth val="1"/>
          <c:extLst>
            <c:ext xmlns:c16="http://schemas.microsoft.com/office/drawing/2014/chart" uri="{C3380CC4-5D6E-409C-BE32-E72D297353CC}">
              <c16:uniqueId val="{00000002-16D2-4465-A624-D31428B62ACB}"/>
            </c:ext>
          </c:extLst>
        </c:ser>
        <c:ser>
          <c:idx val="5"/>
          <c:order val="3"/>
          <c:tx>
            <c:strRef>
              <c:f>'23'!$A$13</c:f>
              <c:strCache>
                <c:ptCount val="1"/>
                <c:pt idx="0">
                  <c:v>Rend. elettrico - centrali cogenerative</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'23'!$B$13:$T$13</c:f>
              <c:numCache>
                <c:formatCode>_(* #,##0.000_);_(* \(#,##0.000\);_(* "-"??_);_(@_)</c:formatCode>
                <c:ptCount val="19"/>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pt idx="18">
                  <c:v>0.41832261897623979</c:v>
                </c:pt>
              </c:numCache>
            </c:numRef>
          </c:val>
          <c:smooth val="1"/>
          <c:extLst>
            <c:ext xmlns:c16="http://schemas.microsoft.com/office/drawing/2014/chart" uri="{C3380CC4-5D6E-409C-BE32-E72D297353CC}">
              <c16:uniqueId val="{00000003-16D2-4465-A624-D31428B62ACB}"/>
            </c:ext>
          </c:extLst>
        </c:ser>
        <c:ser>
          <c:idx val="2"/>
          <c:order val="4"/>
          <c:tx>
            <c:strRef>
              <c:f>'23'!$A$15</c:f>
              <c:strCache>
                <c:ptCount val="1"/>
                <c:pt idx="0">
                  <c:v>Rend. totale - centrali cogenerative</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'23'!$B$15:$T$15</c:f>
              <c:numCache>
                <c:formatCode>_(* #,##0.000_);_(* \(#,##0.000\);_(* "-"??_);_(@_)</c:formatCode>
                <c:ptCount val="19"/>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pt idx="18">
                  <c:v>0.63927548300353576</c:v>
                </c:pt>
              </c:numCache>
            </c:numRef>
          </c:val>
          <c:smooth val="1"/>
          <c:extLst>
            <c:ext xmlns:c16="http://schemas.microsoft.com/office/drawing/2014/chart" uri="{C3380CC4-5D6E-409C-BE32-E72D297353CC}">
              <c16:uniqueId val="{00000004-16D2-4465-A624-D31428B62ACB}"/>
            </c:ext>
          </c:extLst>
        </c:ser>
        <c:ser>
          <c:idx val="4"/>
          <c:order val="5"/>
          <c:tx>
            <c:strRef>
              <c:f>'23'!$A$16</c:f>
              <c:strCache>
                <c:ptCount val="1"/>
                <c:pt idx="0">
                  <c:v>Rend. elettrico - centrali non cogenerative</c:v>
                </c:pt>
              </c:strCache>
            </c:strRef>
          </c:tx>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'23'!$B$16:$T$16</c:f>
              <c:numCache>
                <c:formatCode>_(* #,##0.000_);_(* \(#,##0.000\);_(* "-"??_);_(@_)</c:formatCode>
                <c:ptCount val="19"/>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pt idx="18">
                  <c:v>0.4537322732105411</c:v>
                </c:pt>
              </c:numCache>
            </c:numRef>
          </c:val>
          <c:smooth val="1"/>
          <c:extLst>
            <c:ext xmlns:c16="http://schemas.microsoft.com/office/drawing/2014/chart" uri="{C3380CC4-5D6E-409C-BE32-E72D297353CC}">
              <c16:uniqueId val="{00000005-16D2-4465-A624-D31428B62ACB}"/>
            </c:ext>
          </c:extLst>
        </c:ser>
        <c:ser>
          <c:idx val="6"/>
          <c:order val="6"/>
          <c:tx>
            <c:strRef>
              <c:f>'23'!$A$20</c:f>
              <c:strCache>
                <c:ptCount val="1"/>
                <c:pt idx="0">
                  <c:v>Rend. totale - parco termoelettrico</c:v>
                </c:pt>
              </c:strCache>
            </c:strRef>
          </c:tx>
          <c:spPr>
            <a:ln w="50800">
              <a:solidFill>
                <a:schemeClr val="accent2">
                  <a:lumMod val="75000"/>
                </a:schemeClr>
              </a:solidFill>
            </a:ln>
          </c:spPr>
          <c:marker>
            <c:symbol val="none"/>
          </c:marker>
          <c:cat>
            <c:numRef>
              <c:f>'23'!$B$3:$T$3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'23'!$B$20:$T$20</c:f>
              <c:numCache>
                <c:formatCode>_(* #,##0.000_);_(* \(#,##0.000\);_(* "-"??_);_(@_)</c:formatCode>
                <c:ptCount val="19"/>
                <c:pt idx="0">
                  <c:v>0.49327525543593176</c:v>
                </c:pt>
                <c:pt idx="1">
                  <c:v>0.50132387481501517</c:v>
                </c:pt>
                <c:pt idx="2">
                  <c:v>0.50362630835511901</c:v>
                </c:pt>
                <c:pt idx="3">
                  <c:v>0.50854834523639436</c:v>
                </c:pt>
                <c:pt idx="4">
                  <c:v>0.5091650869875789</c:v>
                </c:pt>
                <c:pt idx="5">
                  <c:v>0.51756742893612306</c:v>
                </c:pt>
                <c:pt idx="6">
                  <c:v>0.5203203635253083</c:v>
                </c:pt>
                <c:pt idx="7">
                  <c:v>0.51595169784244399</c:v>
                </c:pt>
                <c:pt idx="8">
                  <c:v>0.52739193389286099</c:v>
                </c:pt>
                <c:pt idx="9">
                  <c:v>0.52175228553181907</c:v>
                </c:pt>
                <c:pt idx="10">
                  <c:v>0.53565313385240021</c:v>
                </c:pt>
                <c:pt idx="11">
                  <c:v>0.54778490693048398</c:v>
                </c:pt>
                <c:pt idx="12">
                  <c:v>0.55333698150827981</c:v>
                </c:pt>
                <c:pt idx="13">
                  <c:v>0.55482571373873157</c:v>
                </c:pt>
                <c:pt idx="14">
                  <c:v>0.56297349414953257</c:v>
                </c:pt>
                <c:pt idx="15">
                  <c:v>0.56744063895228924</c:v>
                </c:pt>
                <c:pt idx="16">
                  <c:v>0.56506681683388105</c:v>
                </c:pt>
                <c:pt idx="17">
                  <c:v>0.55965006921177296</c:v>
                </c:pt>
                <c:pt idx="18">
                  <c:v>0.56929051535531749</c:v>
                </c:pt>
              </c:numCache>
            </c:numRef>
          </c:val>
          <c:smooth val="1"/>
          <c:extLst>
            <c:ext xmlns:c16="http://schemas.microsoft.com/office/drawing/2014/chart" uri="{C3380CC4-5D6E-409C-BE32-E72D297353CC}">
              <c16:uniqueId val="{00000006-16D2-4465-A624-D31428B62ACB}"/>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a:pPr>
            <a:endParaRPr lang="it-IT"/>
          </a:p>
        </c:txPr>
        <c:crossAx val="146916096"/>
        <c:crosses val="autoZero"/>
        <c:auto val="1"/>
        <c:lblAlgn val="ctr"/>
        <c:lblOffset val="100"/>
        <c:noMultiLvlLbl val="0"/>
      </c:catAx>
      <c:valAx>
        <c:axId val="146916096"/>
        <c:scaling>
          <c:orientation val="minMax"/>
          <c:max val="0.65000000000000124"/>
          <c:min val="0.35000000000000031"/>
        </c:scaling>
        <c:delete val="0"/>
        <c:axPos val="l"/>
        <c:majorGridlines>
          <c:spPr>
            <a:ln>
              <a:solidFill>
                <a:schemeClr val="bg1">
                  <a:lumMod val="85000"/>
                </a:schemeClr>
              </a:solidFill>
              <a:prstDash val="dash"/>
            </a:ln>
          </c:spPr>
        </c:majorGridlines>
        <c:numFmt formatCode="#,##0.00" sourceLinked="0"/>
        <c:majorTickMark val="out"/>
        <c:minorTickMark val="none"/>
        <c:tickLblPos val="nextTo"/>
        <c:crossAx val="146884864"/>
        <c:crosses val="autoZero"/>
        <c:crossBetween val="between"/>
      </c:valAx>
    </c:plotArea>
    <c:legend>
      <c:legendPos val="b"/>
      <c:layout>
        <c:manualLayout>
          <c:xMode val="edge"/>
          <c:yMode val="edge"/>
          <c:x val="4.3547873178796321E-3"/>
          <c:y val="0.82487282912720872"/>
          <c:w val="0.99176808560578655"/>
          <c:h val="0.16416974155106381"/>
        </c:manualLayout>
      </c:layout>
      <c:overlay val="0"/>
    </c:legend>
    <c:plotVisOnly val="1"/>
    <c:dispBlanksAs val="gap"/>
    <c:showDLblsOverMax val="0"/>
  </c:chart>
  <c:spPr>
    <a:ln>
      <a:noFill/>
    </a:ln>
  </c:spPr>
  <c:txPr>
    <a:bodyPr/>
    <a:lstStyle/>
    <a:p>
      <a:pPr>
        <a:defRPr sz="1400" b="1">
          <a:solidFill>
            <a:schemeClr val="tx1">
              <a:lumMod val="65000"/>
              <a:lumOff val="35000"/>
            </a:schemeClr>
          </a:solidFill>
        </a:defRPr>
      </a:pPr>
      <a:endParaRPr lang="it-IT"/>
    </a:p>
  </c:txPr>
  <c:printSettings>
    <c:headerFooter/>
    <c:pageMargins b="0.75000000000001033" l="0.70000000000000062" r="0.70000000000000062" t="0.75000000000001033"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560015607967"/>
          <c:y val="4.7691235760478387E-2"/>
          <c:w val="0.79847939115615629"/>
          <c:h val="0.70817831364829442"/>
        </c:manualLayout>
      </c:layout>
      <c:scatterChart>
        <c:scatterStyle val="lineMarker"/>
        <c:varyColors val="0"/>
        <c:ser>
          <c:idx val="0"/>
          <c:order val="0"/>
          <c:tx>
            <c:strRef>
              <c:f>'5-x'!$A$13</c:f>
              <c:strCache>
                <c:ptCount val="1"/>
                <c:pt idx="0">
                  <c:v>Produzione lorda</c:v>
                </c:pt>
              </c:strCache>
            </c:strRef>
          </c:tx>
          <c:spPr>
            <a:ln w="28575">
              <a:solidFill>
                <a:schemeClr val="accent1"/>
              </a:solidFill>
            </a:ln>
          </c:spPr>
          <c:marker>
            <c:symbol val="none"/>
          </c:marker>
          <c:xVal>
            <c:numRef>
              <c:f>'5-x'!$B$4:$AC$4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xVal>
          <c:yVal>
            <c:numRef>
              <c:f>'5-x'!$B$12:$AC$12</c:f>
              <c:numCache>
                <c:formatCode>#,##0.00</c:formatCode>
                <c:ptCount val="28"/>
                <c:pt idx="0">
                  <c:v>8.7504120000000007</c:v>
                </c:pt>
                <c:pt idx="1">
                  <c:v>8.6373683999999997</c:v>
                </c:pt>
                <c:pt idx="2">
                  <c:v>8.628994800000001</c:v>
                </c:pt>
                <c:pt idx="3">
                  <c:v>8.5787531999999995</c:v>
                </c:pt>
                <c:pt idx="4">
                  <c:v>8.7169175999999986</c:v>
                </c:pt>
                <c:pt idx="5">
                  <c:v>8.5787531999999995</c:v>
                </c:pt>
                <c:pt idx="6">
                  <c:v>8.5536323999999997</c:v>
                </c:pt>
                <c:pt idx="7">
                  <c:v>8.3945340000000002</c:v>
                </c:pt>
                <c:pt idx="8">
                  <c:v>8.2061280000000014</c:v>
                </c:pt>
                <c:pt idx="9">
                  <c:v>8.0344692000000002</c:v>
                </c:pt>
                <c:pt idx="10">
                  <c:v>7.9088651999999993</c:v>
                </c:pt>
                <c:pt idx="11">
                  <c:v>7.8460631999999997</c:v>
                </c:pt>
                <c:pt idx="12">
                  <c:v>7.7497667999999997</c:v>
                </c:pt>
                <c:pt idx="13">
                  <c:v>7.7455800000000004</c:v>
                </c:pt>
                <c:pt idx="14">
                  <c:v>7.6911516000000004</c:v>
                </c:pt>
                <c:pt idx="15">
                  <c:v>7.6911516000000004</c:v>
                </c:pt>
                <c:pt idx="16">
                  <c:v>7.7832612000000001</c:v>
                </c:pt>
                <c:pt idx="17">
                  <c:v>7.6869648000000002</c:v>
                </c:pt>
                <c:pt idx="18">
                  <c:v>7.8376896</c:v>
                </c:pt>
                <c:pt idx="19">
                  <c:v>7.5609999999999999</c:v>
                </c:pt>
                <c:pt idx="20">
                  <c:v>7.37</c:v>
                </c:pt>
                <c:pt idx="21">
                  <c:v>7.2450000000000001</c:v>
                </c:pt>
                <c:pt idx="22" formatCode="#,##0.000">
                  <c:v>7.266</c:v>
                </c:pt>
                <c:pt idx="23" formatCode="#,##0.000">
                  <c:v>7.141</c:v>
                </c:pt>
                <c:pt idx="24" formatCode="#,##0.000">
                  <c:v>7.1139999999999999</c:v>
                </c:pt>
                <c:pt idx="25" formatCode="#,##0.000">
                  <c:v>7.1040000000000001</c:v>
                </c:pt>
                <c:pt idx="26" formatCode="#,##0.000">
                  <c:v>7.1360000000000001</c:v>
                </c:pt>
                <c:pt idx="27" formatCode="#,##0.000">
                  <c:v>7.0549999999999997</c:v>
                </c:pt>
              </c:numCache>
            </c:numRef>
          </c:yVal>
          <c:smooth val="1"/>
          <c:extLst>
            <c:ext xmlns:c16="http://schemas.microsoft.com/office/drawing/2014/chart" uri="{C3380CC4-5D6E-409C-BE32-E72D297353CC}">
              <c16:uniqueId val="{00000000-3524-4D16-94BA-8541560E6810}"/>
            </c:ext>
          </c:extLst>
        </c:ser>
        <c:ser>
          <c:idx val="1"/>
          <c:order val="1"/>
          <c:tx>
            <c:strRef>
              <c:f>'5-x'!$A$24</c:f>
              <c:strCache>
                <c:ptCount val="1"/>
                <c:pt idx="0">
                  <c:v>Produzione netta</c:v>
                </c:pt>
              </c:strCache>
            </c:strRef>
          </c:tx>
          <c:marker>
            <c:symbol val="none"/>
          </c:marker>
          <c:xVal>
            <c:numRef>
              <c:f>'5-x'!$B$4:$AC$4</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xVal>
          <c:yVal>
            <c:numRef>
              <c:f>'5-x'!$B$23:$AC$23</c:f>
              <c:numCache>
                <c:formatCode>#,##0.00</c:formatCode>
                <c:ptCount val="28"/>
                <c:pt idx="0">
                  <c:v>9.2863223999999995</c:v>
                </c:pt>
                <c:pt idx="1">
                  <c:v>9.1523447999999981</c:v>
                </c:pt>
                <c:pt idx="2">
                  <c:v>9.1523447999999981</c:v>
                </c:pt>
                <c:pt idx="3">
                  <c:v>9.1021032000000002</c:v>
                </c:pt>
                <c:pt idx="4">
                  <c:v>9.2360807999999999</c:v>
                </c:pt>
                <c:pt idx="5">
                  <c:v>9.0811691999999997</c:v>
                </c:pt>
                <c:pt idx="6">
                  <c:v>9.0518616000000005</c:v>
                </c:pt>
                <c:pt idx="7">
                  <c:v>8.8592688000000006</c:v>
                </c:pt>
                <c:pt idx="8">
                  <c:v>8.6415551999999991</c:v>
                </c:pt>
                <c:pt idx="9">
                  <c:v>8.4405887999999987</c:v>
                </c:pt>
                <c:pt idx="10">
                  <c:v>8.2898639999999997</c:v>
                </c:pt>
                <c:pt idx="11">
                  <c:v>8.2103148000000008</c:v>
                </c:pt>
                <c:pt idx="12">
                  <c:v>8.0972711999999998</c:v>
                </c:pt>
                <c:pt idx="13">
                  <c:v>8.126578799999999</c:v>
                </c:pt>
                <c:pt idx="14">
                  <c:v>8.0512163999999995</c:v>
                </c:pt>
                <c:pt idx="15">
                  <c:v>8.042842799999999</c:v>
                </c:pt>
                <c:pt idx="16">
                  <c:v>8.1684467999999999</c:v>
                </c:pt>
                <c:pt idx="17">
                  <c:v>8.0888975999999992</c:v>
                </c:pt>
                <c:pt idx="18">
                  <c:v>8.2647431999999998</c:v>
                </c:pt>
                <c:pt idx="19">
                  <c:v>7.94</c:v>
                </c:pt>
                <c:pt idx="20">
                  <c:v>7.702</c:v>
                </c:pt>
                <c:pt idx="21">
                  <c:v>7.5759999999999996</c:v>
                </c:pt>
                <c:pt idx="22" formatCode="#,##0.000">
                  <c:v>7.5949999999999998</c:v>
                </c:pt>
                <c:pt idx="23" formatCode="#,##0.000">
                  <c:v>7.4589999999999996</c:v>
                </c:pt>
                <c:pt idx="24" formatCode="#,##0.000">
                  <c:v>7.4160000000000004</c:v>
                </c:pt>
                <c:pt idx="25" formatCode="#,##0.000">
                  <c:v>7.3940000000000001</c:v>
                </c:pt>
                <c:pt idx="26" formatCode="#,##0.000">
                  <c:v>7.43</c:v>
                </c:pt>
                <c:pt idx="27" formatCode="#,##0.000">
                  <c:v>7.343</c:v>
                </c:pt>
              </c:numCache>
            </c:numRef>
          </c:yVal>
          <c:smooth val="1"/>
          <c:extLst>
            <c:ext xmlns:c16="http://schemas.microsoft.com/office/drawing/2014/chart" uri="{C3380CC4-5D6E-409C-BE32-E72D297353CC}">
              <c16:uniqueId val="{00000001-3524-4D16-94BA-8541560E6810}"/>
            </c:ext>
          </c:extLst>
        </c:ser>
        <c:dLbls>
          <c:showLegendKey val="0"/>
          <c:showVal val="0"/>
          <c:showCatName val="0"/>
          <c:showSerName val="0"/>
          <c:showPercent val="0"/>
          <c:showBubbleSize val="0"/>
        </c:dLbls>
        <c:axId val="151394176"/>
        <c:axId val="151395712"/>
      </c:scatterChart>
      <c:valAx>
        <c:axId val="151394176"/>
        <c:scaling>
          <c:orientation val="minMax"/>
          <c:max val="2023"/>
          <c:min val="1995"/>
        </c:scaling>
        <c:delete val="0"/>
        <c:axPos val="b"/>
        <c:numFmt formatCode="General" sourceLinked="1"/>
        <c:majorTickMark val="out"/>
        <c:minorTickMark val="none"/>
        <c:tickLblPos val="nextTo"/>
        <c:txPr>
          <a:bodyPr rot="-2700000"/>
          <a:lstStyle/>
          <a:p>
            <a:pPr>
              <a:defRPr sz="1200" b="1"/>
            </a:pPr>
            <a:endParaRPr lang="it-IT"/>
          </a:p>
        </c:txPr>
        <c:crossAx val="151395712"/>
        <c:crosses val="autoZero"/>
        <c:crossBetween val="midCat"/>
        <c:majorUnit val="1"/>
      </c:valAx>
      <c:valAx>
        <c:axId val="151395712"/>
        <c:scaling>
          <c:orientation val="minMax"/>
          <c:min val="6"/>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2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6897499105476"/>
          <c:y val="4.7691235760478387E-2"/>
          <c:w val="0.83584593146752295"/>
          <c:h val="0.70817831364829442"/>
        </c:manualLayout>
      </c:layout>
      <c:scatterChart>
        <c:scatterStyle val="lineMarker"/>
        <c:varyColors val="0"/>
        <c:ser>
          <c:idx val="0"/>
          <c:order val="0"/>
          <c:tx>
            <c:strRef>
              <c:f>'5-x'!$A$54</c:f>
              <c:strCache>
                <c:ptCount val="1"/>
                <c:pt idx="0">
                  <c:v>Mcal/kWh elettriche</c:v>
                </c:pt>
              </c:strCache>
            </c:strRef>
          </c:tx>
          <c:spPr>
            <a:ln w="28575">
              <a:solidFill>
                <a:schemeClr val="accent1"/>
              </a:solidFill>
            </a:ln>
          </c:spPr>
          <c:marker>
            <c:symbol val="none"/>
          </c:marker>
          <c:xVal>
            <c:numRef>
              <c:f>'5-x'!$K$4:$AC$4</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'5-x'!$K$54:$AC$54</c:f>
              <c:numCache>
                <c:formatCode>General</c:formatCode>
                <c:ptCount val="19"/>
                <c:pt idx="0" formatCode="0.000">
                  <c:v>2.047641</c:v>
                </c:pt>
                <c:pt idx="1">
                  <c:v>2.0270000000000001</c:v>
                </c:pt>
                <c:pt idx="2">
                  <c:v>1.9950000000000001</c:v>
                </c:pt>
                <c:pt idx="3">
                  <c:v>1.9710000000000001</c:v>
                </c:pt>
                <c:pt idx="4">
                  <c:v>2.0129999999999999</c:v>
                </c:pt>
                <c:pt idx="5" formatCode="0.000">
                  <c:v>1.9969319999999999</c:v>
                </c:pt>
                <c:pt idx="6">
                  <c:v>1.9930000000000001</c:v>
                </c:pt>
                <c:pt idx="7">
                  <c:v>2.028</c:v>
                </c:pt>
                <c:pt idx="8">
                  <c:v>2.085</c:v>
                </c:pt>
                <c:pt idx="9">
                  <c:v>2.1309999999999998</c:v>
                </c:pt>
                <c:pt idx="10" formatCode="0.000">
                  <c:v>2.0598464220884685</c:v>
                </c:pt>
                <c:pt idx="11" formatCode="0.000">
                  <c:v>2.0009171682430495</c:v>
                </c:pt>
                <c:pt idx="12" formatCode="0.000">
                  <c:v>1.9372516002675073</c:v>
                </c:pt>
                <c:pt idx="13" formatCode="0.000">
                  <c:v>1.9531623196713481</c:v>
                </c:pt>
                <c:pt idx="14" formatCode="0.000">
                  <c:v>1.8902505493455621</c:v>
                </c:pt>
                <c:pt idx="15" formatCode="0.000">
                  <c:v>1.882463865218986</c:v>
                </c:pt>
                <c:pt idx="16" formatCode="0.000">
                  <c:v>1.8760784261575809</c:v>
                </c:pt>
                <c:pt idx="17" formatCode="0.000">
                  <c:v>1.904650548799935</c:v>
                </c:pt>
                <c:pt idx="18" formatCode="0.000">
                  <c:v>1.8950497432656714</c:v>
                </c:pt>
              </c:numCache>
            </c:numRef>
          </c:yVal>
          <c:smooth val="1"/>
          <c:extLst>
            <c:ext xmlns:c16="http://schemas.microsoft.com/office/drawing/2014/chart" uri="{C3380CC4-5D6E-409C-BE32-E72D297353CC}">
              <c16:uniqueId val="{00000000-D10B-4F9B-B9F7-C08A3F09C509}"/>
            </c:ext>
          </c:extLst>
        </c:ser>
        <c:ser>
          <c:idx val="1"/>
          <c:order val="1"/>
          <c:tx>
            <c:strRef>
              <c:f>'5-x'!$A$55</c:f>
              <c:strCache>
                <c:ptCount val="1"/>
                <c:pt idx="0">
                  <c:v>Mcal/kWh cogenerative</c:v>
                </c:pt>
              </c:strCache>
            </c:strRef>
          </c:tx>
          <c:marker>
            <c:symbol val="none"/>
          </c:marker>
          <c:xVal>
            <c:numRef>
              <c:f>'5-x'!$K$4:$AC$4</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'5-x'!$K$55:$AC$55</c:f>
              <c:numCache>
                <c:formatCode>General</c:formatCode>
                <c:ptCount val="19"/>
                <c:pt idx="0" formatCode="0.000">
                  <c:v>1.7031890000000001</c:v>
                </c:pt>
                <c:pt idx="1">
                  <c:v>1.673</c:v>
                </c:pt>
                <c:pt idx="2">
                  <c:v>1.698</c:v>
                </c:pt>
                <c:pt idx="3">
                  <c:v>1.667</c:v>
                </c:pt>
                <c:pt idx="4">
                  <c:v>1.6459999999999999</c:v>
                </c:pt>
                <c:pt idx="5" formatCode="0.000">
                  <c:v>1.6666460000000001</c:v>
                </c:pt>
                <c:pt idx="6">
                  <c:v>1.643</c:v>
                </c:pt>
                <c:pt idx="7">
                  <c:v>1.6639999999999999</c:v>
                </c:pt>
                <c:pt idx="8">
                  <c:v>1.5609999999999999</c:v>
                </c:pt>
                <c:pt idx="9">
                  <c:v>1.5980000000000001</c:v>
                </c:pt>
                <c:pt idx="10" formatCode="0.000">
                  <c:v>1.5529343412630172</c:v>
                </c:pt>
                <c:pt idx="11" formatCode="0.000">
                  <c:v>1.5462823636189931</c:v>
                </c:pt>
                <c:pt idx="12" formatCode="0.000">
                  <c:v>1.5452749116270184</c:v>
                </c:pt>
                <c:pt idx="13" formatCode="0.000">
                  <c:v>1.5542956434508457</c:v>
                </c:pt>
                <c:pt idx="14" formatCode="0.000">
                  <c:v>1.55412677940193</c:v>
                </c:pt>
                <c:pt idx="15" formatCode="0.000">
                  <c:v>1.553062903355533</c:v>
                </c:pt>
                <c:pt idx="16" formatCode="0.000">
                  <c:v>1.5423816682213749</c:v>
                </c:pt>
                <c:pt idx="17" formatCode="0.000">
                  <c:v>1.5277079810635823</c:v>
                </c:pt>
                <c:pt idx="18" formatCode="0.000">
                  <c:v>1.5419406261669841</c:v>
                </c:pt>
              </c:numCache>
            </c:numRef>
          </c:yVal>
          <c:smooth val="1"/>
          <c:extLst>
            <c:ext xmlns:c16="http://schemas.microsoft.com/office/drawing/2014/chart" uri="{C3380CC4-5D6E-409C-BE32-E72D297353CC}">
              <c16:uniqueId val="{00000001-D10B-4F9B-B9F7-C08A3F09C509}"/>
            </c:ext>
          </c:extLst>
        </c:ser>
        <c:dLbls>
          <c:showLegendKey val="0"/>
          <c:showVal val="0"/>
          <c:showCatName val="0"/>
          <c:showSerName val="0"/>
          <c:showPercent val="0"/>
          <c:showBubbleSize val="0"/>
        </c:dLbls>
        <c:axId val="151394176"/>
        <c:axId val="151395712"/>
      </c:scatterChart>
      <c:valAx>
        <c:axId val="151394176"/>
        <c:scaling>
          <c:orientation val="minMax"/>
          <c:max val="2025"/>
          <c:min val="2005"/>
        </c:scaling>
        <c:delete val="0"/>
        <c:axPos val="b"/>
        <c:numFmt formatCode="General" sourceLinked="1"/>
        <c:majorTickMark val="out"/>
        <c:minorTickMark val="none"/>
        <c:tickLblPos val="nextTo"/>
        <c:txPr>
          <a:bodyPr rot="-2700000"/>
          <a:lstStyle/>
          <a:p>
            <a:pPr>
              <a:defRPr sz="1200" b="1"/>
            </a:pPr>
            <a:endParaRPr lang="it-IT"/>
          </a:p>
        </c:txPr>
        <c:crossAx val="151395712"/>
        <c:crosses val="autoZero"/>
        <c:crossBetween val="midCat"/>
        <c:majorUnit val="1"/>
      </c:valAx>
      <c:valAx>
        <c:axId val="151395712"/>
        <c:scaling>
          <c:orientation val="minMax"/>
          <c:min val="1.4"/>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2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55783244485742"/>
          <c:y val="5.1400554097404488E-2"/>
          <c:w val="0.84446259434961857"/>
          <c:h val="0.6905454678281272"/>
        </c:manualLayout>
      </c:layout>
      <c:areaChart>
        <c:grouping val="stacked"/>
        <c:varyColors val="0"/>
        <c:ser>
          <c:idx val="2"/>
          <c:order val="0"/>
          <c:tx>
            <c:v>Solidi</c:v>
          </c:tx>
          <c:spPr>
            <a:solidFill>
              <a:srgbClr val="C00000"/>
            </a:solidFill>
            <a:ln w="28575">
              <a:noFill/>
            </a:ln>
          </c:spPr>
          <c:dPt>
            <c:idx val="30"/>
            <c:bubble3D val="0"/>
            <c:extLst>
              <c:ext xmlns:c16="http://schemas.microsoft.com/office/drawing/2014/chart" uri="{C3380CC4-5D6E-409C-BE32-E72D297353CC}">
                <c16:uniqueId val="{00000000-B20B-49FD-91DA-261246257216}"/>
              </c:ext>
            </c:extLst>
          </c:dPt>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32046.999999999996</c:v>
              </c:pt>
              <c:pt idx="1">
                <c:v>28507</c:v>
              </c:pt>
              <c:pt idx="2">
                <c:v>21354</c:v>
              </c:pt>
              <c:pt idx="3">
                <c:v>16659</c:v>
              </c:pt>
              <c:pt idx="4">
                <c:v>19856</c:v>
              </c:pt>
              <c:pt idx="5">
                <c:v>24122</c:v>
              </c:pt>
              <c:pt idx="6">
                <c:v>22080</c:v>
              </c:pt>
              <c:pt idx="7">
                <c:v>20518</c:v>
              </c:pt>
              <c:pt idx="8">
                <c:v>23311</c:v>
              </c:pt>
              <c:pt idx="9">
                <c:v>23812</c:v>
              </c:pt>
              <c:pt idx="10">
                <c:v>26272</c:v>
              </c:pt>
              <c:pt idx="11">
                <c:v>31730</c:v>
              </c:pt>
              <c:pt idx="12">
                <c:v>35447</c:v>
              </c:pt>
              <c:pt idx="13">
                <c:v>38813</c:v>
              </c:pt>
              <c:pt idx="14">
                <c:v>45518</c:v>
              </c:pt>
              <c:pt idx="15">
                <c:v>43606.3</c:v>
              </c:pt>
              <c:pt idx="16">
                <c:v>44207.4</c:v>
              </c:pt>
              <c:pt idx="17">
                <c:v>44112.200000000004</c:v>
              </c:pt>
              <c:pt idx="18">
                <c:v>43073.8</c:v>
              </c:pt>
              <c:pt idx="19">
                <c:v>39745.200000000004</c:v>
              </c:pt>
              <c:pt idx="20">
                <c:v>39734.000000000007</c:v>
              </c:pt>
              <c:pt idx="21">
                <c:v>44726</c:v>
              </c:pt>
              <c:pt idx="22">
                <c:v>49141.4</c:v>
              </c:pt>
              <c:pt idx="23">
                <c:v>45104.4</c:v>
              </c:pt>
              <c:pt idx="24">
                <c:v>43454.700000000004</c:v>
              </c:pt>
              <c:pt idx="25">
                <c:v>43201.3</c:v>
              </c:pt>
              <c:pt idx="26">
                <c:v>35607.699999999997</c:v>
              </c:pt>
              <c:pt idx="27">
                <c:v>32627.426142120003</c:v>
              </c:pt>
              <c:pt idx="28">
                <c:v>28469.8677001</c:v>
              </c:pt>
              <c:pt idx="29">
                <c:v>18839.448967460001</c:v>
              </c:pt>
              <c:pt idx="30">
                <c:v>13379.48689138</c:v>
              </c:pt>
              <c:pt idx="31">
                <c:v>14021.91874551</c:v>
              </c:pt>
              <c:pt idx="32">
                <c:v>22606.652264280001</c:v>
              </c:pt>
              <c:pt idx="33">
                <c:v>13219.8851156488</c:v>
              </c:pt>
              <c:pt idx="34">
                <c:v>3829.3995209383011</c:v>
              </c:pt>
            </c:numLit>
          </c:val>
          <c:extLst>
            <c:ext xmlns:c16="http://schemas.microsoft.com/office/drawing/2014/chart" uri="{C3380CC4-5D6E-409C-BE32-E72D297353CC}">
              <c16:uniqueId val="{00000001-B20B-49FD-91DA-261246257216}"/>
            </c:ext>
          </c:extLst>
        </c:ser>
        <c:ser>
          <c:idx val="3"/>
          <c:order val="1"/>
          <c:tx>
            <c:v>Gas naturale</c:v>
          </c:tx>
          <c:spPr>
            <a:solidFill>
              <a:srgbClr val="0070C0"/>
            </a:solidFill>
            <a:ln w="28575">
              <a:noFill/>
            </a:ln>
          </c:spPr>
          <c:dPt>
            <c:idx val="30"/>
            <c:bubble3D val="0"/>
            <c:extLst>
              <c:ext xmlns:c16="http://schemas.microsoft.com/office/drawing/2014/chart" uri="{C3380CC4-5D6E-409C-BE32-E72D297353CC}">
                <c16:uniqueId val="{00000002-B20B-49FD-91DA-261246257216}"/>
              </c:ext>
            </c:extLst>
          </c:dPt>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39709</c:v>
              </c:pt>
              <c:pt idx="1">
                <c:v>36342</c:v>
              </c:pt>
              <c:pt idx="2">
                <c:v>35476</c:v>
              </c:pt>
              <c:pt idx="3">
                <c:v>39963</c:v>
              </c:pt>
              <c:pt idx="4">
                <c:v>40804</c:v>
              </c:pt>
              <c:pt idx="5">
                <c:v>46998</c:v>
              </c:pt>
              <c:pt idx="6">
                <c:v>50191</c:v>
              </c:pt>
              <c:pt idx="7">
                <c:v>61293</c:v>
              </c:pt>
              <c:pt idx="8">
                <c:v>70883</c:v>
              </c:pt>
              <c:pt idx="9">
                <c:v>86983</c:v>
              </c:pt>
              <c:pt idx="10">
                <c:v>101360</c:v>
              </c:pt>
              <c:pt idx="11">
                <c:v>104187.5</c:v>
              </c:pt>
              <c:pt idx="12">
                <c:v>99413.8</c:v>
              </c:pt>
              <c:pt idx="13">
                <c:v>117301</c:v>
              </c:pt>
              <c:pt idx="14">
                <c:v>129772.09999999999</c:v>
              </c:pt>
              <c:pt idx="15">
                <c:v>149258.6</c:v>
              </c:pt>
              <c:pt idx="16">
                <c:v>158078.79999999999</c:v>
              </c:pt>
              <c:pt idx="17">
                <c:v>172645.9</c:v>
              </c:pt>
              <c:pt idx="18">
                <c:v>172697.2</c:v>
              </c:pt>
              <c:pt idx="19">
                <c:v>147270.1</c:v>
              </c:pt>
              <c:pt idx="20">
                <c:v>152736.9</c:v>
              </c:pt>
              <c:pt idx="21">
                <c:v>144548</c:v>
              </c:pt>
              <c:pt idx="22">
                <c:v>129058.09999999999</c:v>
              </c:pt>
              <c:pt idx="23">
                <c:v>108875.6</c:v>
              </c:pt>
              <c:pt idx="24">
                <c:v>93637.3</c:v>
              </c:pt>
              <c:pt idx="25">
                <c:v>110860.1</c:v>
              </c:pt>
              <c:pt idx="26">
                <c:v>126148.1</c:v>
              </c:pt>
              <c:pt idx="27">
                <c:v>140332.88427196001</c:v>
              </c:pt>
              <c:pt idx="28">
                <c:v>128487.55475789</c:v>
              </c:pt>
              <c:pt idx="29">
                <c:v>141687.00212828</c:v>
              </c:pt>
              <c:pt idx="30">
                <c:v>133682.78357062998</c:v>
              </c:pt>
              <c:pt idx="31">
                <c:v>143997.95016603</c:v>
              </c:pt>
              <c:pt idx="32">
                <c:v>141445.3122099</c:v>
              </c:pt>
              <c:pt idx="33">
                <c:v>118986.516222533</c:v>
              </c:pt>
              <c:pt idx="34">
                <c:v>122624.72029332806</c:v>
              </c:pt>
            </c:numLit>
          </c:val>
          <c:extLst>
            <c:ext xmlns:c16="http://schemas.microsoft.com/office/drawing/2014/chart" uri="{C3380CC4-5D6E-409C-BE32-E72D297353CC}">
              <c16:uniqueId val="{00000003-B20B-49FD-91DA-261246257216}"/>
            </c:ext>
          </c:extLst>
        </c:ser>
        <c:ser>
          <c:idx val="4"/>
          <c:order val="2"/>
          <c:tx>
            <c:v>Gas derivati</c:v>
          </c:tx>
          <c:spPr>
            <a:solidFill>
              <a:srgbClr val="7030A0"/>
            </a:solidFill>
            <a:ln w="28575">
              <a:noFill/>
            </a:ln>
          </c:spP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3715</c:v>
              </c:pt>
              <c:pt idx="1">
                <c:v>3666</c:v>
              </c:pt>
              <c:pt idx="2">
                <c:v>3651</c:v>
              </c:pt>
              <c:pt idx="3">
                <c:v>3536</c:v>
              </c:pt>
              <c:pt idx="4">
                <c:v>3088</c:v>
              </c:pt>
              <c:pt idx="5">
                <c:v>3446</c:v>
              </c:pt>
              <c:pt idx="6">
                <c:v>3243</c:v>
              </c:pt>
              <c:pt idx="7">
                <c:v>4251</c:v>
              </c:pt>
              <c:pt idx="8">
                <c:v>4516</c:v>
              </c:pt>
              <c:pt idx="9">
                <c:v>4413</c:v>
              </c:pt>
              <c:pt idx="10">
                <c:v>4252</c:v>
              </c:pt>
              <c:pt idx="11">
                <c:v>5045</c:v>
              </c:pt>
              <c:pt idx="12">
                <c:v>5021</c:v>
              </c:pt>
              <c:pt idx="13">
                <c:v>5304</c:v>
              </c:pt>
              <c:pt idx="14">
                <c:v>5359</c:v>
              </c:pt>
              <c:pt idx="15">
                <c:v>5813.2</c:v>
              </c:pt>
              <c:pt idx="16">
                <c:v>6229.1</c:v>
              </c:pt>
              <c:pt idx="17">
                <c:v>5623.1</c:v>
              </c:pt>
              <c:pt idx="18">
                <c:v>5516.7</c:v>
              </c:pt>
              <c:pt idx="19">
                <c:v>3670.7</c:v>
              </c:pt>
              <c:pt idx="20">
                <c:v>4699.3999999999996</c:v>
              </c:pt>
              <c:pt idx="21">
                <c:v>5413.4</c:v>
              </c:pt>
              <c:pt idx="22">
                <c:v>4969.7999999999993</c:v>
              </c:pt>
              <c:pt idx="23">
                <c:v>3390</c:v>
              </c:pt>
              <c:pt idx="24">
                <c:v>3069.6000000000004</c:v>
              </c:pt>
              <c:pt idx="25">
                <c:v>2187.3000000000002</c:v>
              </c:pt>
              <c:pt idx="26">
                <c:v>2796.8</c:v>
              </c:pt>
              <c:pt idx="27">
                <c:v>2468.7542050499997</c:v>
              </c:pt>
              <c:pt idx="28">
                <c:v>2485.79466538</c:v>
              </c:pt>
              <c:pt idx="29">
                <c:v>2413.3499243599999</c:v>
              </c:pt>
              <c:pt idx="30">
                <c:v>1663.48417608</c:v>
              </c:pt>
              <c:pt idx="31">
                <c:v>1914.0872884400001</c:v>
              </c:pt>
              <c:pt idx="32">
                <c:v>1589.3830291499999</c:v>
              </c:pt>
              <c:pt idx="33">
                <c:v>1156.5384328231648</c:v>
              </c:pt>
              <c:pt idx="34">
                <c:v>1098.7225014559785</c:v>
              </c:pt>
            </c:numLit>
          </c:val>
          <c:extLst>
            <c:ext xmlns:c16="http://schemas.microsoft.com/office/drawing/2014/chart" uri="{C3380CC4-5D6E-409C-BE32-E72D297353CC}">
              <c16:uniqueId val="{00000004-B20B-49FD-91DA-261246257216}"/>
            </c:ext>
          </c:extLst>
        </c:ser>
        <c:ser>
          <c:idx val="5"/>
          <c:order val="3"/>
          <c:tx>
            <c:v>Prodotti petroliferi</c:v>
          </c:tx>
          <c:spPr>
            <a:solidFill>
              <a:schemeClr val="tx1">
                <a:lumMod val="50000"/>
                <a:lumOff val="50000"/>
              </a:schemeClr>
            </a:solidFill>
            <a:ln w="28575">
              <a:noFill/>
            </a:ln>
          </c:spPr>
          <c:dPt>
            <c:idx val="30"/>
            <c:bubble3D val="0"/>
            <c:extLst>
              <c:ext xmlns:c16="http://schemas.microsoft.com/office/drawing/2014/chart" uri="{C3380CC4-5D6E-409C-BE32-E72D297353CC}">
                <c16:uniqueId val="{00000005-B20B-49FD-91DA-261246257216}"/>
              </c:ext>
            </c:extLst>
          </c:dPt>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102719</c:v>
              </c:pt>
              <c:pt idx="1">
                <c:v>104287</c:v>
              </c:pt>
              <c:pt idx="2">
                <c:v>116020</c:v>
              </c:pt>
              <c:pt idx="3">
                <c:v>113919</c:v>
              </c:pt>
              <c:pt idx="4">
                <c:v>116312</c:v>
              </c:pt>
              <c:pt idx="5">
                <c:v>120800</c:v>
              </c:pt>
              <c:pt idx="6">
                <c:v>117088</c:v>
              </c:pt>
              <c:pt idx="7">
                <c:v>113312</c:v>
              </c:pt>
              <c:pt idx="8">
                <c:v>107305</c:v>
              </c:pt>
              <c:pt idx="9">
                <c:v>91379</c:v>
              </c:pt>
              <c:pt idx="10">
                <c:v>85878</c:v>
              </c:pt>
              <c:pt idx="11">
                <c:v>75008.200000000012</c:v>
              </c:pt>
              <c:pt idx="12">
                <c:v>87765.6</c:v>
              </c:pt>
              <c:pt idx="13">
                <c:v>75986</c:v>
              </c:pt>
              <c:pt idx="14">
                <c:v>58891.1</c:v>
              </c:pt>
              <c:pt idx="15">
                <c:v>47123.3</c:v>
              </c:pt>
              <c:pt idx="16">
                <c:v>45877.5</c:v>
              </c:pt>
              <c:pt idx="17">
                <c:v>35408.199999999997</c:v>
              </c:pt>
              <c:pt idx="18">
                <c:v>31458.600000000002</c:v>
              </c:pt>
              <c:pt idx="19">
                <c:v>26020.799999999999</c:v>
              </c:pt>
              <c:pt idx="20">
                <c:v>21715.699999999997</c:v>
              </c:pt>
              <c:pt idx="21">
                <c:v>19885.099999999999</c:v>
              </c:pt>
              <c:pt idx="22">
                <c:v>18888.600000000002</c:v>
              </c:pt>
              <c:pt idx="23">
                <c:v>15481.699999999997</c:v>
              </c:pt>
              <c:pt idx="24">
                <c:v>14164.2</c:v>
              </c:pt>
              <c:pt idx="25">
                <c:v>13385.800000000001</c:v>
              </c:pt>
              <c:pt idx="26">
                <c:v>12129.7</c:v>
              </c:pt>
              <c:pt idx="27">
                <c:v>11526.694451159998</c:v>
              </c:pt>
              <c:pt idx="28">
                <c:v>11029.129547660001</c:v>
              </c:pt>
              <c:pt idx="29">
                <c:v>10153.115378189999</c:v>
              </c:pt>
              <c:pt idx="30">
                <c:v>10043.258547610001</c:v>
              </c:pt>
              <c:pt idx="31">
                <c:v>7748.0854822399997</c:v>
              </c:pt>
              <c:pt idx="32">
                <c:v>12861.937289709998</c:v>
              </c:pt>
              <c:pt idx="33">
                <c:v>10191.484636876365</c:v>
              </c:pt>
              <c:pt idx="34">
                <c:v>7507.4871497712329</c:v>
              </c:pt>
            </c:numLit>
          </c:val>
          <c:extLst>
            <c:ext xmlns:c16="http://schemas.microsoft.com/office/drawing/2014/chart" uri="{C3380CC4-5D6E-409C-BE32-E72D297353CC}">
              <c16:uniqueId val="{00000006-B20B-49FD-91DA-261246257216}"/>
            </c:ext>
          </c:extLst>
        </c:ser>
        <c:ser>
          <c:idx val="6"/>
          <c:order val="4"/>
          <c:tx>
            <c:v>Altri non rinnovabili</c:v>
          </c:tx>
          <c:spPr>
            <a:solidFill>
              <a:srgbClr val="C7C965"/>
            </a:solidFill>
            <a:ln w="28575">
              <a:noFill/>
            </a:ln>
          </c:spP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51.5</c:v>
              </c:pt>
              <c:pt idx="1">
                <c:v>116.19999999999999</c:v>
              </c:pt>
              <c:pt idx="2">
                <c:v>92</c:v>
              </c:pt>
              <c:pt idx="3">
                <c:v>104</c:v>
              </c:pt>
              <c:pt idx="4">
                <c:v>92.65</c:v>
              </c:pt>
              <c:pt idx="5">
                <c:v>86.100000000000023</c:v>
              </c:pt>
              <c:pt idx="6">
                <c:v>120.89999999999998</c:v>
              </c:pt>
              <c:pt idx="7">
                <c:v>127.84999999999991</c:v>
              </c:pt>
              <c:pt idx="8">
                <c:v>235.5</c:v>
              </c:pt>
              <c:pt idx="9">
                <c:v>327.20000000000005</c:v>
              </c:pt>
              <c:pt idx="10">
                <c:v>403.45000000000005</c:v>
              </c:pt>
              <c:pt idx="11">
                <c:v>629.35000000000014</c:v>
              </c:pt>
              <c:pt idx="12">
                <c:v>802.04999999999973</c:v>
              </c:pt>
              <c:pt idx="13">
                <c:v>905.94999999999982</c:v>
              </c:pt>
              <c:pt idx="14">
                <c:v>1138.5</c:v>
              </c:pt>
              <c:pt idx="15">
                <c:v>1309.8500000000004</c:v>
              </c:pt>
              <c:pt idx="16">
                <c:v>1458.2999999999993</c:v>
              </c:pt>
              <c:pt idx="17">
                <c:v>1512.4500000000007</c:v>
              </c:pt>
              <c:pt idx="18">
                <c:v>1699.3499999999995</c:v>
              </c:pt>
              <c:pt idx="19">
                <c:v>1772.380000000001</c:v>
              </c:pt>
              <c:pt idx="20">
                <c:v>2144.7099999999991</c:v>
              </c:pt>
              <c:pt idx="21">
                <c:v>2304.5000000000018</c:v>
              </c:pt>
              <c:pt idx="22">
                <c:v>2265.9000000000015</c:v>
              </c:pt>
              <c:pt idx="23">
                <c:v>2292.7999999999993</c:v>
              </c:pt>
              <c:pt idx="24">
                <c:v>2451.4000000000051</c:v>
              </c:pt>
              <c:pt idx="25">
                <c:v>2427.9999999999964</c:v>
              </c:pt>
              <c:pt idx="26">
                <c:v>2503.1000000000022</c:v>
              </c:pt>
              <c:pt idx="27">
                <c:v>2473.1409297100108</c:v>
              </c:pt>
              <c:pt idx="28">
                <c:v>2453.8775132900046</c:v>
              </c:pt>
              <c:pt idx="29">
                <c:v>2428.4135880800022</c:v>
              </c:pt>
              <c:pt idx="30">
                <c:v>2402.288195649995</c:v>
              </c:pt>
              <c:pt idx="31">
                <c:v>2379.4346780999986</c:v>
              </c:pt>
              <c:pt idx="32">
                <c:v>2396.0559367899987</c:v>
              </c:pt>
              <c:pt idx="33">
                <c:v>2402.3835507234253</c:v>
              </c:pt>
              <c:pt idx="34">
                <c:v>2405.9050542049081</c:v>
              </c:pt>
            </c:numLit>
          </c:val>
          <c:extLst>
            <c:ext xmlns:c16="http://schemas.microsoft.com/office/drawing/2014/chart" uri="{C3380CC4-5D6E-409C-BE32-E72D297353CC}">
              <c16:uniqueId val="{00000007-B20B-49FD-91DA-261246257216}"/>
            </c:ext>
          </c:extLst>
        </c:ser>
        <c:ser>
          <c:idx val="0"/>
          <c:order val="5"/>
          <c:tx>
            <c:v>Rinnovabili</c:v>
          </c:tx>
          <c:spPr>
            <a:solidFill>
              <a:srgbClr val="00B050"/>
            </a:solidFill>
          </c:spPr>
          <c:dPt>
            <c:idx val="30"/>
            <c:bubble3D val="0"/>
            <c:extLst>
              <c:ext xmlns:c16="http://schemas.microsoft.com/office/drawing/2014/chart" uri="{C3380CC4-5D6E-409C-BE32-E72D297353CC}">
                <c16:uniqueId val="{00000008-B20B-49FD-91DA-261246257216}"/>
              </c:ext>
            </c:extLst>
          </c:dPt>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34905.5</c:v>
              </c:pt>
              <c:pt idx="1">
                <c:v>45531.3</c:v>
              </c:pt>
              <c:pt idx="2">
                <c:v>45762</c:v>
              </c:pt>
              <c:pt idx="3">
                <c:v>45211</c:v>
              </c:pt>
              <c:pt idx="4">
                <c:v>48283.05</c:v>
              </c:pt>
              <c:pt idx="5">
                <c:v>41542.200000000004</c:v>
              </c:pt>
              <c:pt idx="6">
                <c:v>46328.799999999996</c:v>
              </c:pt>
              <c:pt idx="7">
                <c:v>46331.950000000004</c:v>
              </c:pt>
              <c:pt idx="8">
                <c:v>46671.5</c:v>
              </c:pt>
              <c:pt idx="9">
                <c:v>51676</c:v>
              </c:pt>
              <c:pt idx="10">
                <c:v>50990.85</c:v>
              </c:pt>
              <c:pt idx="11">
                <c:v>54472.549999999996</c:v>
              </c:pt>
              <c:pt idx="12">
                <c:v>48315.350000000006</c:v>
              </c:pt>
              <c:pt idx="13">
                <c:v>47078.950000000004</c:v>
              </c:pt>
              <c:pt idx="14">
                <c:v>54149.5</c:v>
              </c:pt>
              <c:pt idx="15">
                <c:v>48610.649999999994</c:v>
              </c:pt>
              <c:pt idx="16">
                <c:v>50813.8</c:v>
              </c:pt>
              <c:pt idx="17">
                <c:v>47898.95</c:v>
              </c:pt>
              <c:pt idx="18">
                <c:v>58163.950000000004</c:v>
              </c:pt>
              <c:pt idx="19">
                <c:v>69255.42</c:v>
              </c:pt>
              <c:pt idx="20">
                <c:v>76964.37</c:v>
              </c:pt>
              <c:pt idx="21">
                <c:v>82961.460000000006</c:v>
              </c:pt>
              <c:pt idx="22">
                <c:v>92222.399999999994</c:v>
              </c:pt>
              <c:pt idx="23">
                <c:v>112008.4</c:v>
              </c:pt>
              <c:pt idx="24">
                <c:v>120679</c:v>
              </c:pt>
              <c:pt idx="25">
                <c:v>108904.1</c:v>
              </c:pt>
              <c:pt idx="26">
                <c:v>108022</c:v>
              </c:pt>
              <c:pt idx="27">
                <c:v>103914.09999999999</c:v>
              </c:pt>
              <c:pt idx="28">
                <c:v>114464.73999999999</c:v>
              </c:pt>
              <c:pt idx="29">
                <c:v>115846.99999999999</c:v>
              </c:pt>
              <c:pt idx="30">
                <c:v>116914.75732772006</c:v>
              </c:pt>
              <c:pt idx="31">
                <c:v>116338.98000000001</c:v>
              </c:pt>
              <c:pt idx="32">
                <c:v>100466</c:v>
              </c:pt>
              <c:pt idx="33">
                <c:v>116578.6</c:v>
              </c:pt>
              <c:pt idx="34">
                <c:v>132065.55582178873</c:v>
              </c:pt>
            </c:numLit>
          </c:val>
          <c:extLst>
            <c:ext xmlns:c16="http://schemas.microsoft.com/office/drawing/2014/chart" uri="{C3380CC4-5D6E-409C-BE32-E72D297353CC}">
              <c16:uniqueId val="{00000009-B20B-49FD-91DA-261246257216}"/>
            </c:ext>
          </c:extLst>
        </c:ser>
        <c:dLbls>
          <c:showLegendKey val="0"/>
          <c:showVal val="0"/>
          <c:showCatName val="0"/>
          <c:showSerName val="0"/>
          <c:showPercent val="0"/>
          <c:showBubbleSize val="0"/>
        </c:dLbls>
        <c:axId val="165828864"/>
        <c:axId val="165842944"/>
      </c:areaChart>
      <c:lineChart>
        <c:grouping val="stacked"/>
        <c:varyColors val="0"/>
        <c:ser>
          <c:idx val="1"/>
          <c:order val="6"/>
          <c:tx>
            <c:v>Consumi elettrici</c:v>
          </c:tx>
          <c:spPr>
            <a:ln>
              <a:solidFill>
                <a:srgbClr val="FF9900"/>
              </a:solidFill>
            </a:ln>
          </c:spPr>
          <c:marker>
            <c:symbol val="none"/>
          </c:marker>
          <c:val>
            <c:numLit>
              <c:formatCode>General</c:formatCode>
              <c:ptCount val="35"/>
              <c:pt idx="0">
                <c:v>218778</c:v>
              </c:pt>
              <c:pt idx="1">
                <c:v>223687.5</c:v>
              </c:pt>
              <c:pt idx="2">
                <c:v>228069</c:v>
              </c:pt>
              <c:pt idx="3">
                <c:v>228964</c:v>
              </c:pt>
              <c:pt idx="4">
                <c:v>236554.69999999998</c:v>
              </c:pt>
              <c:pt idx="5">
                <c:v>243464.3</c:v>
              </c:pt>
              <c:pt idx="6">
                <c:v>245952.7</c:v>
              </c:pt>
              <c:pt idx="7">
                <c:v>253670.8</c:v>
              </c:pt>
              <c:pt idx="8">
                <c:v>260803</c:v>
              </c:pt>
              <c:pt idx="9">
                <c:v>267276.2</c:v>
              </c:pt>
              <c:pt idx="10">
                <c:v>279319.88399999996</c:v>
              </c:pt>
              <c:pt idx="11">
                <c:v>285491.20199999993</c:v>
              </c:pt>
              <c:pt idx="12">
                <c:v>290960.30300000001</c:v>
              </c:pt>
              <c:pt idx="13">
                <c:v>299787.84000000003</c:v>
              </c:pt>
              <c:pt idx="14">
                <c:v>304514.93099999998</c:v>
              </c:pt>
              <c:pt idx="15">
                <c:v>309842.93400000001</c:v>
              </c:pt>
              <c:pt idx="16">
                <c:v>317566.62900000007</c:v>
              </c:pt>
              <c:pt idx="17">
                <c:v>318952.72800000006</c:v>
              </c:pt>
              <c:pt idx="18">
                <c:v>319036.614</c:v>
              </c:pt>
              <c:pt idx="19">
                <c:v>299918.185</c:v>
              </c:pt>
              <c:pt idx="20">
                <c:v>309881.65799999994</c:v>
              </c:pt>
              <c:pt idx="21">
                <c:v>313785.62799999997</c:v>
              </c:pt>
              <c:pt idx="22">
                <c:v>307216.58199999994</c:v>
              </c:pt>
              <c:pt idx="23">
                <c:v>297286.69700000004</c:v>
              </c:pt>
              <c:pt idx="24">
                <c:v>291084.79200000002</c:v>
              </c:pt>
              <c:pt idx="25">
                <c:v>297180.853</c:v>
              </c:pt>
              <c:pt idx="26">
                <c:v>295508.86199999996</c:v>
              </c:pt>
              <c:pt idx="27">
                <c:v>301880.49717200006</c:v>
              </c:pt>
              <c:pt idx="28">
                <c:v>303442.99672702001</c:v>
              </c:pt>
              <c:pt idx="29">
                <c:v>301803.8</c:v>
              </c:pt>
              <c:pt idx="30">
                <c:v>283814.5</c:v>
              </c:pt>
              <c:pt idx="31">
                <c:v>300887.10605539993</c:v>
              </c:pt>
              <c:pt idx="32">
                <c:v>295861.73303983</c:v>
              </c:pt>
              <c:pt idx="33">
                <c:v>287372.12462643901</c:v>
              </c:pt>
              <c:pt idx="34">
                <c:v>293244.45090777508</c:v>
              </c:pt>
            </c:numLit>
          </c:val>
          <c:smooth val="0"/>
          <c:extLst>
            <c:ext xmlns:c16="http://schemas.microsoft.com/office/drawing/2014/chart" uri="{C3380CC4-5D6E-409C-BE32-E72D297353CC}">
              <c16:uniqueId val="{0000000A-B20B-49FD-91DA-261246257216}"/>
            </c:ext>
          </c:extLst>
        </c:ser>
        <c:dLbls>
          <c:showLegendKey val="0"/>
          <c:showVal val="0"/>
          <c:showCatName val="0"/>
          <c:showSerName val="0"/>
          <c:showPercent val="0"/>
          <c:showBubbleSize val="0"/>
        </c:dLbls>
        <c:marker val="1"/>
        <c:smooth val="0"/>
        <c:axId val="165828864"/>
        <c:axId val="165842944"/>
      </c:lineChart>
      <c:dateAx>
        <c:axId val="165828864"/>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42944"/>
        <c:crosses val="autoZero"/>
        <c:auto val="0"/>
        <c:lblOffset val="100"/>
        <c:baseTimeUnit val="days"/>
        <c:majorUnit val="1"/>
        <c:majorTimeUnit val="days"/>
        <c:minorUnit val="1"/>
      </c:dateAx>
      <c:valAx>
        <c:axId val="165842944"/>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28864"/>
        <c:crosses val="autoZero"/>
        <c:crossBetween val="midCat"/>
        <c:dispUnits>
          <c:custUnit val="1000"/>
        </c:dispUnits>
      </c:valAx>
    </c:plotArea>
    <c:legend>
      <c:legendPos val="b"/>
      <c:layout>
        <c:manualLayout>
          <c:xMode val="edge"/>
          <c:yMode val="edge"/>
          <c:x val="9.6639512620208118E-2"/>
          <c:y val="0.86005874401755134"/>
          <c:w val="0.90035120196512131"/>
          <c:h val="0.13994125598244872"/>
        </c:manualLayout>
      </c:layout>
      <c:overlay val="0"/>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2833923382708"/>
          <c:y val="4.9341351442506835E-2"/>
          <c:w val="0.83678823791767121"/>
          <c:h val="0.73076477917422933"/>
        </c:manualLayout>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D366-4D3D-B52F-CAFBFC7CBFDD}"/>
            </c:ext>
          </c:extLst>
        </c:ser>
        <c:ser>
          <c:idx val="1"/>
          <c:order val="1"/>
          <c:tx>
            <c:strRef>
              <c:f>'5-x'!$J$119</c:f>
              <c:strCache>
                <c:ptCount val="1"/>
                <c:pt idx="0">
                  <c:v>Elettricità termo tot</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'5-x'!$K$119:$AB$119</c:f>
              <c:numCache>
                <c:formatCode>_(* #,##0.0_);_(* \(#,##0.0\);_(* "-"??_);_(@_)</c:formatCode>
                <c:ptCount val="18"/>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numCache>
            </c:numRef>
          </c:yVal>
          <c:smooth val="1"/>
          <c:extLst>
            <c:ext xmlns:c16="http://schemas.microsoft.com/office/drawing/2014/chart" uri="{C3380CC4-5D6E-409C-BE32-E72D297353CC}">
              <c16:uniqueId val="{00000007-D366-4D3D-B52F-CAFBFC7CBFDD}"/>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930F-4C7C-8C65-9A598B056F2E}"/>
            </c:ext>
          </c:extLst>
        </c:ser>
        <c:ser>
          <c:idx val="1"/>
          <c:order val="1"/>
          <c:tx>
            <c:strRef>
              <c:f>'5-x'!$J$120</c:f>
              <c:strCache>
                <c:ptCount val="1"/>
                <c:pt idx="0">
                  <c:v>Elettricità CHP</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'5-x'!$K$120:$AB$120</c:f>
              <c:numCache>
                <c:formatCode>_(* #,##0.0_);_(* \(#,##0.0\);_(* "-"??_);_(@_)</c:formatCode>
                <c:ptCount val="18"/>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numCache>
            </c:numRef>
          </c:yVal>
          <c:smooth val="1"/>
          <c:extLst>
            <c:ext xmlns:c16="http://schemas.microsoft.com/office/drawing/2014/chart" uri="{C3380CC4-5D6E-409C-BE32-E72D297353CC}">
              <c16:uniqueId val="{00000001-930F-4C7C-8C65-9A598B056F2E}"/>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14804360893226E-2"/>
          <c:y val="4.7647885835433675E-2"/>
          <c:w val="0.87770128737757935"/>
          <c:h val="0.59201059404133216"/>
        </c:manualLayout>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0.49327525543593176</c:v>
                </c:pt>
                <c:pt idx="1">
                  <c:v>0.50132387481501517</c:v>
                </c:pt>
                <c:pt idx="2">
                  <c:v>0.50362630835511901</c:v>
                </c:pt>
                <c:pt idx="3">
                  <c:v>0.50854834523639436</c:v>
                </c:pt>
                <c:pt idx="4">
                  <c:v>0.5091650869875789</c:v>
                </c:pt>
                <c:pt idx="5">
                  <c:v>0.51756742893612306</c:v>
                </c:pt>
                <c:pt idx="6">
                  <c:v>0.5203203635253083</c:v>
                </c:pt>
                <c:pt idx="7">
                  <c:v>0.51595169784244399</c:v>
                </c:pt>
                <c:pt idx="8">
                  <c:v>0.52739193389286099</c:v>
                </c:pt>
                <c:pt idx="9">
                  <c:v>0.52175228553181907</c:v>
                </c:pt>
                <c:pt idx="10">
                  <c:v>0.53565313385240021</c:v>
                </c:pt>
                <c:pt idx="11">
                  <c:v>0.54778490693048398</c:v>
                </c:pt>
                <c:pt idx="12">
                  <c:v>0.55333698150827981</c:v>
                </c:pt>
                <c:pt idx="13">
                  <c:v>0.55482571373873157</c:v>
                </c:pt>
                <c:pt idx="14">
                  <c:v>0.56297349414953257</c:v>
                </c:pt>
                <c:pt idx="15">
                  <c:v>0.56744063895228924</c:v>
                </c:pt>
                <c:pt idx="16">
                  <c:v>0.56506681683388105</c:v>
                </c:pt>
                <c:pt idx="17">
                  <c:v>0.55965006921177296</c:v>
                </c:pt>
              </c:numCache>
            </c:numRef>
          </c:yVal>
          <c:smooth val="1"/>
          <c:extLst>
            <c:ext xmlns:c16="http://schemas.microsoft.com/office/drawing/2014/chart" uri="{C3380CC4-5D6E-409C-BE32-E72D297353CC}">
              <c16:uniqueId val="{00000000-C35C-4F21-902E-06DA676C0A65}"/>
            </c:ext>
          </c:extLst>
        </c:ser>
        <c:ser>
          <c:idx val="1"/>
          <c:order val="1"/>
          <c:tx>
            <c:strRef>
              <c:f>'5-x'!$A$89</c:f>
              <c:strCache>
                <c:ptCount val="1"/>
                <c:pt idx="0">
                  <c:v>Rend el. eq. - elc/fuel elc</c:v>
                </c:pt>
              </c:strCache>
            </c:strRef>
          </c:tx>
          <c:spPr>
            <a:ln w="19050" cap="rnd">
              <a:solidFill>
                <a:schemeClr val="accent2"/>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'5-x'!$K$89:$AB$89</c:f>
              <c:numCache>
                <c:formatCode>0.00%</c:formatCode>
                <c:ptCount val="18"/>
                <c:pt idx="0">
                  <c:v>0.45015807893183429</c:v>
                </c:pt>
                <c:pt idx="1">
                  <c:v>0.45692599810435203</c:v>
                </c:pt>
                <c:pt idx="2">
                  <c:v>0.4605413645929482</c:v>
                </c:pt>
                <c:pt idx="3">
                  <c:v>0.46620280435460959</c:v>
                </c:pt>
                <c:pt idx="4">
                  <c:v>0.46603970317421783</c:v>
                </c:pt>
                <c:pt idx="5">
                  <c:v>0.46959963026063073</c:v>
                </c:pt>
                <c:pt idx="6">
                  <c:v>0.46975439745608444</c:v>
                </c:pt>
                <c:pt idx="7">
                  <c:v>0.46420751936101312</c:v>
                </c:pt>
                <c:pt idx="8">
                  <c:v>0.47011993531177143</c:v>
                </c:pt>
                <c:pt idx="9">
                  <c:v>0.46094765779111235</c:v>
                </c:pt>
                <c:pt idx="10">
                  <c:v>0.47758287781958286</c:v>
                </c:pt>
                <c:pt idx="11">
                  <c:v>0.49025268281130641</c:v>
                </c:pt>
                <c:pt idx="12">
                  <c:v>0.49843995171338923</c:v>
                </c:pt>
                <c:pt idx="13">
                  <c:v>0.49704525429314655</c:v>
                </c:pt>
                <c:pt idx="14">
                  <c:v>0.5058564901157655</c:v>
                </c:pt>
                <c:pt idx="15">
                  <c:v>0.50735750300621152</c:v>
                </c:pt>
                <c:pt idx="16">
                  <c:v>0.5082846073307804</c:v>
                </c:pt>
                <c:pt idx="17">
                  <c:v>0.5062611789923851</c:v>
                </c:pt>
              </c:numCache>
            </c:numRef>
          </c:yVal>
          <c:smooth val="1"/>
          <c:extLst>
            <c:ext xmlns:c16="http://schemas.microsoft.com/office/drawing/2014/chart" uri="{C3380CC4-5D6E-409C-BE32-E72D297353CC}">
              <c16:uniqueId val="{00000002-C35C-4F21-902E-06DA676C0A65}"/>
            </c:ext>
          </c:extLst>
        </c:ser>
        <c:ser>
          <c:idx val="2"/>
          <c:order val="2"/>
          <c:tx>
            <c:strRef>
              <c:f>'5-x'!$A$90</c:f>
              <c:strCache>
                <c:ptCount val="1"/>
                <c:pt idx="0">
                  <c:v>Rend totale CHP - elc+heat/fuel tot</c:v>
                </c:pt>
              </c:strCache>
            </c:strRef>
          </c:tx>
          <c:spPr>
            <a:ln w="19050" cap="rnd">
              <a:solidFill>
                <a:schemeClr val="accent3"/>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'5-x'!$K$90:$AB$90</c:f>
              <c:numCache>
                <c:formatCode>0.00%</c:formatCode>
                <c:ptCount val="18"/>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numCache>
            </c:numRef>
          </c:yVal>
          <c:smooth val="1"/>
          <c:extLst>
            <c:ext xmlns:c16="http://schemas.microsoft.com/office/drawing/2014/chart" uri="{C3380CC4-5D6E-409C-BE32-E72D297353CC}">
              <c16:uniqueId val="{00000003-C35C-4F21-902E-06DA676C0A65}"/>
            </c:ext>
          </c:extLst>
        </c:ser>
        <c:ser>
          <c:idx val="3"/>
          <c:order val="3"/>
          <c:tx>
            <c:strRef>
              <c:f>'5-x'!$A$91</c:f>
              <c:strCache>
                <c:ptCount val="1"/>
                <c:pt idx="0">
                  <c:v>Rend el. eq. CHP - elc/fuel elc</c:v>
                </c:pt>
              </c:strCache>
            </c:strRef>
          </c:tx>
          <c:spPr>
            <a:ln w="19050" cap="rnd">
              <a:solidFill>
                <a:schemeClr val="accent4"/>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'5-x'!$K$91:$AB$91</c:f>
              <c:numCache>
                <c:formatCode>0.00%</c:formatCode>
                <c:ptCount val="18"/>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numCache>
            </c:numRef>
          </c:yVal>
          <c:smooth val="1"/>
          <c:extLst>
            <c:ext xmlns:c16="http://schemas.microsoft.com/office/drawing/2014/chart" uri="{C3380CC4-5D6E-409C-BE32-E72D297353CC}">
              <c16:uniqueId val="{00000004-C35C-4F21-902E-06DA676C0A65}"/>
            </c:ext>
          </c:extLst>
        </c:ser>
        <c:ser>
          <c:idx val="4"/>
          <c:order val="4"/>
          <c:tx>
            <c:strRef>
              <c:f>'5-x'!$A$92</c:f>
              <c:strCache>
                <c:ptCount val="1"/>
                <c:pt idx="0">
                  <c:v>Rend el. no CHP - elc/fuel tot</c:v>
                </c:pt>
              </c:strCache>
            </c:strRef>
          </c:tx>
          <c:spPr>
            <a:ln w="19050" cap="rnd">
              <a:solidFill>
                <a:schemeClr val="accent5"/>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'5-x'!$K$92:$AB$92</c:f>
              <c:numCache>
                <c:formatCode>0.00%</c:formatCode>
                <c:ptCount val="18"/>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numCache>
            </c:numRef>
          </c:yVal>
          <c:smooth val="1"/>
          <c:extLst>
            <c:ext xmlns:c16="http://schemas.microsoft.com/office/drawing/2014/chart" uri="{C3380CC4-5D6E-409C-BE32-E72D297353CC}">
              <c16:uniqueId val="{00000005-C35C-4F21-902E-06DA676C0A65}"/>
            </c:ext>
          </c:extLst>
        </c:ser>
        <c:ser>
          <c:idx val="5"/>
          <c:order val="5"/>
          <c:tx>
            <c:strRef>
              <c:f>'5-x'!$A$105</c:f>
              <c:strCache>
                <c:ptCount val="1"/>
                <c:pt idx="0">
                  <c:v>Rend el.  - elc/fuel tot</c:v>
                </c:pt>
              </c:strCache>
            </c:strRef>
          </c:tx>
          <c:spPr>
            <a:ln w="19050" cap="rnd">
              <a:solidFill>
                <a:schemeClr val="accent6"/>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0.40702275069904564</c:v>
                </c:pt>
                <c:pt idx="1">
                  <c:v>0.41047048525408614</c:v>
                </c:pt>
                <c:pt idx="2">
                  <c:v>0.41496791524857513</c:v>
                </c:pt>
                <c:pt idx="3">
                  <c:v>0.41998888298879389</c:v>
                </c:pt>
                <c:pt idx="4">
                  <c:v>0.41679473353926416</c:v>
                </c:pt>
                <c:pt idx="5">
                  <c:v>0.41630068344651383</c:v>
                </c:pt>
                <c:pt idx="6">
                  <c:v>0.41217846699785465</c:v>
                </c:pt>
                <c:pt idx="7">
                  <c:v>0.40964893699794647</c:v>
                </c:pt>
                <c:pt idx="8">
                  <c:v>0.4037577639024072</c:v>
                </c:pt>
                <c:pt idx="9">
                  <c:v>0.39550333431500373</c:v>
                </c:pt>
                <c:pt idx="10">
                  <c:v>0.40932931845523768</c:v>
                </c:pt>
                <c:pt idx="11">
                  <c:v>0.41940434400834975</c:v>
                </c:pt>
                <c:pt idx="12">
                  <c:v>0.42842166174604429</c:v>
                </c:pt>
                <c:pt idx="13">
                  <c:v>0.42374105813381252</c:v>
                </c:pt>
                <c:pt idx="14">
                  <c:v>0.43047565006585176</c:v>
                </c:pt>
                <c:pt idx="15">
                  <c:v>0.42759274687991955</c:v>
                </c:pt>
                <c:pt idx="16">
                  <c:v>0.43331764241954573</c:v>
                </c:pt>
                <c:pt idx="17">
                  <c:v>0.43569577498609607</c:v>
                </c:pt>
              </c:numCache>
            </c:numRef>
          </c:yVal>
          <c:smooth val="1"/>
          <c:extLst>
            <c:ext xmlns:c16="http://schemas.microsoft.com/office/drawing/2014/chart" uri="{C3380CC4-5D6E-409C-BE32-E72D297353CC}">
              <c16:uniqueId val="{00000006-C35C-4F21-902E-06DA676C0A65}"/>
            </c:ext>
          </c:extLst>
        </c:ser>
        <c:ser>
          <c:idx val="6"/>
          <c:order val="6"/>
          <c:tx>
            <c:strRef>
              <c:f>'5-x'!$A$106</c:f>
              <c:strCache>
                <c:ptCount val="1"/>
                <c:pt idx="0">
                  <c:v>Rend el. CHP - elc/fuel tot</c:v>
                </c:pt>
              </c:strCache>
            </c:strRef>
          </c:tx>
          <c:spPr>
            <a:ln w="19050" cap="rnd">
              <a:solidFill>
                <a:schemeClr val="accent1">
                  <a:lumMod val="60000"/>
                </a:schemeClr>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'5-x'!$K$106:$AB$106</c:f>
              <c:numCache>
                <c:formatCode>0.00%</c:formatCode>
                <c:ptCount val="18"/>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numCache>
            </c:numRef>
          </c:yVal>
          <c:smooth val="1"/>
          <c:extLst>
            <c:ext xmlns:c16="http://schemas.microsoft.com/office/drawing/2014/chart" uri="{C3380CC4-5D6E-409C-BE32-E72D297353CC}">
              <c16:uniqueId val="{00000007-C35C-4F21-902E-06DA676C0A65}"/>
            </c:ext>
          </c:extLst>
        </c:ser>
        <c:dLbls>
          <c:showLegendKey val="0"/>
          <c:showVal val="0"/>
          <c:showCatName val="0"/>
          <c:showSerName val="0"/>
          <c:showPercent val="0"/>
          <c:showBubbleSize val="0"/>
        </c:dLbls>
        <c:axId val="1218186943"/>
        <c:axId val="1218185503"/>
      </c:scatterChart>
      <c:valAx>
        <c:axId val="1218186943"/>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6943"/>
        <c:crosses val="autoZero"/>
        <c:crossBetween val="midCat"/>
      </c:valAx>
      <c:spPr>
        <a:noFill/>
        <a:ln>
          <a:noFill/>
        </a:ln>
        <a:effectLst/>
      </c:spPr>
    </c:plotArea>
    <c:legend>
      <c:legendPos val="b"/>
      <c:layout>
        <c:manualLayout>
          <c:xMode val="edge"/>
          <c:yMode val="edge"/>
          <c:x val="0"/>
          <c:y val="0.71882732370567792"/>
          <c:w val="1"/>
          <c:h val="0.2605191409755570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'5-x'!$A$92</c:f>
              <c:strCache>
                <c:ptCount val="1"/>
                <c:pt idx="0">
                  <c:v>Rend el. no CHP - elc/fuel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'5-x'!$K$92:$AB$92</c:f>
              <c:numCache>
                <c:formatCode>0.00%</c:formatCode>
                <c:ptCount val="18"/>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numCache>
            </c:numRef>
          </c:yVal>
          <c:smooth val="1"/>
          <c:extLst>
            <c:ext xmlns:c16="http://schemas.microsoft.com/office/drawing/2014/chart" uri="{C3380CC4-5D6E-409C-BE32-E72D297353CC}">
              <c16:uniqueId val="{00000000-4F19-4794-A809-30CD92709DB7}"/>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'5-x'!$J$113</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'5-x'!$L$113:$AB$113</c:f>
              <c:numCache>
                <c:formatCode>0.0%</c:formatCode>
                <c:ptCount val="17"/>
                <c:pt idx="0">
                  <c:v>1.0183029107054598E-2</c:v>
                </c:pt>
                <c:pt idx="1">
                  <c:v>1.6040100250626743E-2</c:v>
                </c:pt>
                <c:pt idx="2">
                  <c:v>1.2176560121765378E-2</c:v>
                </c:pt>
                <c:pt idx="3">
                  <c:v>-2.0864381520119157E-2</c:v>
                </c:pt>
                <c:pt idx="4">
                  <c:v>8.0463430903008337E-3</c:v>
                </c:pt>
                <c:pt idx="5">
                  <c:v>1.9729051680881238E-3</c:v>
                </c:pt>
                <c:pt idx="6">
                  <c:v>-1.725838264299806E-2</c:v>
                </c:pt>
                <c:pt idx="7">
                  <c:v>-2.7338129496402686E-2</c:v>
                </c:pt>
                <c:pt idx="8">
                  <c:v>-2.1586109807601894E-2</c:v>
                </c:pt>
                <c:pt idx="9">
                  <c:v>3.4543147075687619E-2</c:v>
                </c:pt>
                <c:pt idx="10">
                  <c:v>2.9451121106209177E-2</c:v>
                </c:pt>
                <c:pt idx="11">
                  <c:v>3.2863861341888123E-2</c:v>
                </c:pt>
                <c:pt idx="12">
                  <c:v>-8.1461326811372858E-3</c:v>
                </c:pt>
                <c:pt idx="13">
                  <c:v>3.3282238879690507E-2</c:v>
                </c:pt>
                <c:pt idx="14">
                  <c:v>4.1364321889230116E-3</c:v>
                </c:pt>
                <c:pt idx="15">
                  <c:v>3.4036098770577894E-3</c:v>
                </c:pt>
                <c:pt idx="16">
                  <c:v>-1.5001241388010178E-2</c:v>
                </c:pt>
              </c:numCache>
            </c:numRef>
          </c:yVal>
          <c:smooth val="1"/>
          <c:extLst>
            <c:ext xmlns:c16="http://schemas.microsoft.com/office/drawing/2014/chart" uri="{C3380CC4-5D6E-409C-BE32-E72D297353CC}">
              <c16:uniqueId val="{00000001-4F19-4794-A809-30CD92709DB7}"/>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max val="6.0000000000000012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27456101325031"/>
          <c:y val="5.0897804136111544E-2"/>
          <c:w val="0.79796568874904716"/>
          <c:h val="0.59353700072388105"/>
        </c:manualLayout>
      </c:layout>
      <c:scatterChart>
        <c:scatterStyle val="smoothMarker"/>
        <c:varyColors val="0"/>
        <c:ser>
          <c:idx val="4"/>
          <c:order val="0"/>
          <c:tx>
            <c:strRef>
              <c:f>'5-x'!$J$124</c:f>
              <c:strCache>
                <c:ptCount val="1"/>
                <c:pt idx="0">
                  <c:v>Elettricità totale</c:v>
                </c:pt>
              </c:strCache>
            </c:strRef>
          </c:tx>
          <c:spPr>
            <a:ln w="38100" cap="rnd">
              <a:solidFill>
                <a:srgbClr val="00206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'5-x'!$K$125:$AB$125</c:f>
              <c:numCache>
                <c:formatCode>_(* #,##0.0_);_(* \(#,##0.0\);_(* "-"??_);_(@_)</c:formatCode>
                <c:ptCount val="18"/>
                <c:pt idx="0">
                  <c:v>1</c:v>
                </c:pt>
                <c:pt idx="1">
                  <c:v>1.0343268754904134</c:v>
                </c:pt>
                <c:pt idx="2">
                  <c:v>1.0335527509409845</c:v>
                </c:pt>
                <c:pt idx="3">
                  <c:v>1.050812666139608</c:v>
                </c:pt>
                <c:pt idx="4">
                  <c:v>0.96359770680007995</c:v>
                </c:pt>
                <c:pt idx="5">
                  <c:v>0.99461366048299982</c:v>
                </c:pt>
                <c:pt idx="6">
                  <c:v>0.99632055407692954</c:v>
                </c:pt>
                <c:pt idx="7">
                  <c:v>0.98544046567328902</c:v>
                </c:pt>
                <c:pt idx="8">
                  <c:v>0.9542505891545513</c:v>
                </c:pt>
                <c:pt idx="9">
                  <c:v>0.92140314437472248</c:v>
                </c:pt>
                <c:pt idx="10">
                  <c:v>0.93182698991333157</c:v>
                </c:pt>
                <c:pt idx="11">
                  <c:v>0.9541330381276919</c:v>
                </c:pt>
                <c:pt idx="12">
                  <c:v>0.97409298244077425</c:v>
                </c:pt>
                <c:pt idx="13">
                  <c:v>0.95393632859173538</c:v>
                </c:pt>
                <c:pt idx="14">
                  <c:v>0.96758386277132624</c:v>
                </c:pt>
                <c:pt idx="15">
                  <c:v>0.92371733225682506</c:v>
                </c:pt>
                <c:pt idx="16">
                  <c:v>0.95183241654091133</c:v>
                </c:pt>
                <c:pt idx="17">
                  <c:v>0.93501279738789755</c:v>
                </c:pt>
              </c:numCache>
            </c:numRef>
          </c:yVal>
          <c:smooth val="1"/>
          <c:extLst>
            <c:ext xmlns:c16="http://schemas.microsoft.com/office/drawing/2014/chart" uri="{C3380CC4-5D6E-409C-BE32-E72D297353CC}">
              <c16:uniqueId val="{00000005-117B-4739-94EC-1DE7A847B6AD}"/>
            </c:ext>
          </c:extLst>
        </c:ser>
        <c:ser>
          <c:idx val="1"/>
          <c:order val="1"/>
          <c:tx>
            <c:strRef>
              <c:f>'5-x'!$J$119</c:f>
              <c:strCache>
                <c:ptCount val="1"/>
                <c:pt idx="0">
                  <c:v>Elettricità termo tot</c:v>
                </c:pt>
              </c:strCache>
            </c:strRef>
          </c:tx>
          <c:spPr>
            <a:ln w="38100" cap="rnd">
              <a:solidFill>
                <a:schemeClr val="accent2"/>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'5-x'!$K$119:$AB$119</c:f>
              <c:numCache>
                <c:formatCode>_(* #,##0.0_);_(* \(#,##0.0\);_(* "-"??_);_(@_)</c:formatCode>
                <c:ptCount val="18"/>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numCache>
            </c:numRef>
          </c:yVal>
          <c:smooth val="1"/>
          <c:extLst>
            <c:ext xmlns:c16="http://schemas.microsoft.com/office/drawing/2014/chart" uri="{C3380CC4-5D6E-409C-BE32-E72D297353CC}">
              <c16:uniqueId val="{00000002-117B-4739-94EC-1DE7A847B6AD}"/>
            </c:ext>
          </c:extLst>
        </c:ser>
        <c:ser>
          <c:idx val="0"/>
          <c:order val="2"/>
          <c:tx>
            <c:strRef>
              <c:f>'5-x'!$J$118</c:f>
              <c:strCache>
                <c:ptCount val="1"/>
                <c:pt idx="0">
                  <c:v>Calore</c:v>
                </c:pt>
              </c:strCache>
            </c:strRef>
          </c:tx>
          <c:spPr>
            <a:ln w="38100" cap="rnd">
              <a:solidFill>
                <a:schemeClr val="accent2">
                  <a:lumMod val="60000"/>
                  <a:lumOff val="40000"/>
                </a:schemeClr>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117B-4739-94EC-1DE7A847B6AD}"/>
            </c:ext>
          </c:extLst>
        </c:ser>
        <c:ser>
          <c:idx val="2"/>
          <c:order val="3"/>
          <c:tx>
            <c:strRef>
              <c:f>'5-x'!$J$120</c:f>
              <c:strCache>
                <c:ptCount val="1"/>
                <c:pt idx="0">
                  <c:v>Elettricità CHP</c:v>
                </c:pt>
              </c:strCache>
            </c:strRef>
          </c:tx>
          <c:spPr>
            <a:ln w="19050" cap="rnd">
              <a:solidFill>
                <a:schemeClr val="accent1"/>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'5-x'!$K$120:$AB$120</c:f>
              <c:numCache>
                <c:formatCode>_(* #,##0.0_);_(* \(#,##0.0\);_(* "-"??_);_(@_)</c:formatCode>
                <c:ptCount val="18"/>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numCache>
            </c:numRef>
          </c:yVal>
          <c:smooth val="1"/>
          <c:extLst>
            <c:ext xmlns:c16="http://schemas.microsoft.com/office/drawing/2014/chart" uri="{C3380CC4-5D6E-409C-BE32-E72D297353CC}">
              <c16:uniqueId val="{00000003-117B-4739-94EC-1DE7A847B6AD}"/>
            </c:ext>
          </c:extLst>
        </c:ser>
        <c:ser>
          <c:idx val="3"/>
          <c:order val="4"/>
          <c:tx>
            <c:strRef>
              <c:f>'5-x'!$J$121</c:f>
              <c:strCache>
                <c:ptCount val="1"/>
                <c:pt idx="0">
                  <c:v>Elettricità no CHP</c:v>
                </c:pt>
              </c:strCache>
            </c:strRef>
          </c:tx>
          <c:spPr>
            <a:ln w="19050" cap="rnd">
              <a:solidFill>
                <a:srgbClr val="FFC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'5-x'!$K$121:$AB$121</c:f>
              <c:numCache>
                <c:formatCode>_(* #,##0.0_);_(* \(#,##0.0\);_(* "-"??_);_(@_)</c:formatCode>
                <c:ptCount val="18"/>
                <c:pt idx="0">
                  <c:v>1</c:v>
                </c:pt>
                <c:pt idx="1">
                  <c:v>1.0124572306403183</c:v>
                </c:pt>
                <c:pt idx="2">
                  <c:v>0.99721769048631703</c:v>
                </c:pt>
                <c:pt idx="3">
                  <c:v>0.99972322907872102</c:v>
                </c:pt>
                <c:pt idx="4">
                  <c:v>0.79727990046403563</c:v>
                </c:pt>
                <c:pt idx="5">
                  <c:v>0.75542718576026302</c:v>
                </c:pt>
                <c:pt idx="6">
                  <c:v>0.80105820441690845</c:v>
                </c:pt>
                <c:pt idx="7">
                  <c:v>0.73618335438739035</c:v>
                </c:pt>
                <c:pt idx="8">
                  <c:v>0.64077343506992279</c:v>
                </c:pt>
                <c:pt idx="9">
                  <c:v>0.57359757761964303</c:v>
                </c:pt>
                <c:pt idx="10">
                  <c:v>0.60676247849629583</c:v>
                </c:pt>
                <c:pt idx="11">
                  <c:v>0.59396055379576085</c:v>
                </c:pt>
                <c:pt idx="12">
                  <c:v>0.62651414642197412</c:v>
                </c:pt>
                <c:pt idx="13">
                  <c:v>0.55358310427788815</c:v>
                </c:pt>
                <c:pt idx="14">
                  <c:v>0.55749788930432742</c:v>
                </c:pt>
                <c:pt idx="15">
                  <c:v>0.51007420761627875</c:v>
                </c:pt>
                <c:pt idx="16">
                  <c:v>0.55571925525769539</c:v>
                </c:pt>
                <c:pt idx="17">
                  <c:v>0.59082656746925999</c:v>
                </c:pt>
              </c:numCache>
            </c:numRef>
          </c:yVal>
          <c:smooth val="1"/>
          <c:extLst>
            <c:ext xmlns:c16="http://schemas.microsoft.com/office/drawing/2014/chart" uri="{C3380CC4-5D6E-409C-BE32-E72D297353CC}">
              <c16:uniqueId val="{00000004-117B-4739-94EC-1DE7A847B6AD}"/>
            </c:ext>
          </c:extLst>
        </c:ser>
        <c:dLbls>
          <c:showLegendKey val="0"/>
          <c:showVal val="0"/>
          <c:showCatName val="0"/>
          <c:showSerName val="0"/>
          <c:showPercent val="0"/>
          <c:showBubbleSize val="0"/>
        </c:dLbls>
        <c:axId val="1208708607"/>
        <c:axId val="1208701887"/>
      </c:scatterChart>
      <c:valAx>
        <c:axId val="1208708607"/>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majorUnit val="1"/>
      </c:valAx>
      <c:valAx>
        <c:axId val="1208701887"/>
        <c:scaling>
          <c:orientation val="minMax"/>
          <c:min val="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Indice (2005 = 1)</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title>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layout>
        <c:manualLayout>
          <c:xMode val="edge"/>
          <c:yMode val="edge"/>
          <c:x val="5.2494694547032809E-2"/>
          <c:y val="0.84754024108387849"/>
          <c:w val="0.93446289999476329"/>
          <c:h val="0.1263918290381686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'5-x'!$A$89</c:f>
              <c:strCache>
                <c:ptCount val="1"/>
                <c:pt idx="0">
                  <c:v>Rend el. eq. - elc/fuel elc</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'5-x'!$K$89:$AB$89</c:f>
              <c:numCache>
                <c:formatCode>0.00%</c:formatCode>
                <c:ptCount val="18"/>
                <c:pt idx="0">
                  <c:v>0.45015807893183429</c:v>
                </c:pt>
                <c:pt idx="1">
                  <c:v>0.45692599810435203</c:v>
                </c:pt>
                <c:pt idx="2">
                  <c:v>0.4605413645929482</c:v>
                </c:pt>
                <c:pt idx="3">
                  <c:v>0.46620280435460959</c:v>
                </c:pt>
                <c:pt idx="4">
                  <c:v>0.46603970317421783</c:v>
                </c:pt>
                <c:pt idx="5">
                  <c:v>0.46959963026063073</c:v>
                </c:pt>
                <c:pt idx="6">
                  <c:v>0.46975439745608444</c:v>
                </c:pt>
                <c:pt idx="7">
                  <c:v>0.46420751936101312</c:v>
                </c:pt>
                <c:pt idx="8">
                  <c:v>0.47011993531177143</c:v>
                </c:pt>
                <c:pt idx="9">
                  <c:v>0.46094765779111235</c:v>
                </c:pt>
                <c:pt idx="10">
                  <c:v>0.47758287781958286</c:v>
                </c:pt>
                <c:pt idx="11">
                  <c:v>0.49025268281130641</c:v>
                </c:pt>
                <c:pt idx="12">
                  <c:v>0.49843995171338923</c:v>
                </c:pt>
                <c:pt idx="13">
                  <c:v>0.49704525429314655</c:v>
                </c:pt>
                <c:pt idx="14">
                  <c:v>0.5058564901157655</c:v>
                </c:pt>
                <c:pt idx="15">
                  <c:v>0.50735750300621152</c:v>
                </c:pt>
                <c:pt idx="16">
                  <c:v>0.5082846073307804</c:v>
                </c:pt>
                <c:pt idx="17">
                  <c:v>0.5062611789923851</c:v>
                </c:pt>
              </c:numCache>
            </c:numRef>
          </c:yVal>
          <c:smooth val="1"/>
          <c:extLst>
            <c:ext xmlns:c16="http://schemas.microsoft.com/office/drawing/2014/chart" uri="{C3380CC4-5D6E-409C-BE32-E72D297353CC}">
              <c16:uniqueId val="{00000000-984B-4B06-88A1-4168DAF423F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'5-x'!$J$110</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'5-x'!$L$110:$AB$110</c:f>
              <c:numCache>
                <c:formatCode>0.0%</c:formatCode>
                <c:ptCount val="17"/>
                <c:pt idx="0">
                  <c:v>1.5034538952576559E-2</c:v>
                </c:pt>
                <c:pt idx="1">
                  <c:v>7.9123676560213241E-3</c:v>
                </c:pt>
                <c:pt idx="2">
                  <c:v>1.2293010350254319E-2</c:v>
                </c:pt>
                <c:pt idx="3">
                  <c:v>-3.498502773220391E-4</c:v>
                </c:pt>
                <c:pt idx="4">
                  <c:v>7.6386776966985703E-3</c:v>
                </c:pt>
                <c:pt idx="5">
                  <c:v>3.295726518519615E-4</c:v>
                </c:pt>
                <c:pt idx="6">
                  <c:v>-1.1808038679595012E-2</c:v>
                </c:pt>
                <c:pt idx="7">
                  <c:v>1.2736579448124452E-2</c:v>
                </c:pt>
                <c:pt idx="8">
                  <c:v>-1.9510505366202469E-2</c:v>
                </c:pt>
                <c:pt idx="9">
                  <c:v>3.6089173569483934E-2</c:v>
                </c:pt>
                <c:pt idx="10">
                  <c:v>2.6529018480662137E-2</c:v>
                </c:pt>
                <c:pt idx="11">
                  <c:v>1.6700100150668584E-2</c:v>
                </c:pt>
                <c:pt idx="12">
                  <c:v>-2.7981252615252306E-3</c:v>
                </c:pt>
                <c:pt idx="13">
                  <c:v>1.7727230562033069E-2</c:v>
                </c:pt>
                <c:pt idx="14">
                  <c:v>2.9672702036549481E-3</c:v>
                </c:pt>
                <c:pt idx="15">
                  <c:v>1.8273196297986516E-3</c:v>
                </c:pt>
                <c:pt idx="16">
                  <c:v>-3.9808963506119399E-3</c:v>
                </c:pt>
              </c:numCache>
            </c:numRef>
          </c:yVal>
          <c:smooth val="1"/>
          <c:extLst>
            <c:ext xmlns:c16="http://schemas.microsoft.com/office/drawing/2014/chart" uri="{C3380CC4-5D6E-409C-BE32-E72D297353CC}">
              <c16:uniqueId val="{00000001-984B-4B06-88A1-4168DAF423F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0.49327525543593176</c:v>
                </c:pt>
                <c:pt idx="1">
                  <c:v>0.50132387481501517</c:v>
                </c:pt>
                <c:pt idx="2">
                  <c:v>0.50362630835511901</c:v>
                </c:pt>
                <c:pt idx="3">
                  <c:v>0.50854834523639436</c:v>
                </c:pt>
                <c:pt idx="4">
                  <c:v>0.5091650869875789</c:v>
                </c:pt>
                <c:pt idx="5">
                  <c:v>0.51756742893612306</c:v>
                </c:pt>
                <c:pt idx="6">
                  <c:v>0.5203203635253083</c:v>
                </c:pt>
                <c:pt idx="7">
                  <c:v>0.51595169784244399</c:v>
                </c:pt>
                <c:pt idx="8">
                  <c:v>0.52739193389286099</c:v>
                </c:pt>
                <c:pt idx="9">
                  <c:v>0.52175228553181907</c:v>
                </c:pt>
                <c:pt idx="10">
                  <c:v>0.53565313385240021</c:v>
                </c:pt>
                <c:pt idx="11">
                  <c:v>0.54778490693048398</c:v>
                </c:pt>
                <c:pt idx="12">
                  <c:v>0.55333698150827981</c:v>
                </c:pt>
                <c:pt idx="13">
                  <c:v>0.55482571373873157</c:v>
                </c:pt>
                <c:pt idx="14">
                  <c:v>0.56297349414953257</c:v>
                </c:pt>
                <c:pt idx="15">
                  <c:v>0.56744063895228924</c:v>
                </c:pt>
                <c:pt idx="16">
                  <c:v>0.56506681683388105</c:v>
                </c:pt>
                <c:pt idx="17">
                  <c:v>0.55965006921177296</c:v>
                </c:pt>
              </c:numCache>
            </c:numRef>
          </c:yVal>
          <c:smooth val="1"/>
          <c:extLst>
            <c:ext xmlns:c16="http://schemas.microsoft.com/office/drawing/2014/chart" uri="{C3380CC4-5D6E-409C-BE32-E72D297353CC}">
              <c16:uniqueId val="{00000000-5C87-431A-9A1B-5D19C7FF3A9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'5-x'!$J$109</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'5-x'!$L$109:$AB$109</c:f>
              <c:numCache>
                <c:formatCode>0.0%</c:formatCode>
                <c:ptCount val="17"/>
                <c:pt idx="0">
                  <c:v>1.6316689901605619E-2</c:v>
                </c:pt>
                <c:pt idx="1">
                  <c:v>4.5927067426290158E-3</c:v>
                </c:pt>
                <c:pt idx="2">
                  <c:v>9.7731925430009081E-3</c:v>
                </c:pt>
                <c:pt idx="3">
                  <c:v>1.2127494995541888E-3</c:v>
                </c:pt>
                <c:pt idx="4">
                  <c:v>1.6502195777514439E-2</c:v>
                </c:pt>
                <c:pt idx="5">
                  <c:v>5.3189873150325528E-3</c:v>
                </c:pt>
                <c:pt idx="6">
                  <c:v>-8.396107454387236E-3</c:v>
                </c:pt>
                <c:pt idx="7">
                  <c:v>2.2173075693435296E-2</c:v>
                </c:pt>
                <c:pt idx="8">
                  <c:v>-1.0693467227330777E-2</c:v>
                </c:pt>
                <c:pt idx="9">
                  <c:v>2.6642620849110621E-2</c:v>
                </c:pt>
                <c:pt idx="10">
                  <c:v>2.26485617489669E-2</c:v>
                </c:pt>
                <c:pt idx="11">
                  <c:v>1.0135501193172525E-2</c:v>
                </c:pt>
                <c:pt idx="12">
                  <c:v>2.6904621960994746E-3</c:v>
                </c:pt>
                <c:pt idx="13">
                  <c:v>1.4685297038409706E-2</c:v>
                </c:pt>
                <c:pt idx="14">
                  <c:v>7.934911410891754E-3</c:v>
                </c:pt>
                <c:pt idx="15">
                  <c:v>-4.1833840501646069E-3</c:v>
                </c:pt>
                <c:pt idx="16">
                  <c:v>-9.5860302901144001E-3</c:v>
                </c:pt>
              </c:numCache>
            </c:numRef>
          </c:yVal>
          <c:smooth val="1"/>
          <c:extLst>
            <c:ext xmlns:c16="http://schemas.microsoft.com/office/drawing/2014/chart" uri="{C3380CC4-5D6E-409C-BE32-E72D297353CC}">
              <c16:uniqueId val="{00000001-5C87-431A-9A1B-5D19C7FF3A9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min val="-3.0000000000000006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'5-x'!$A$105</c:f>
              <c:strCache>
                <c:ptCount val="1"/>
                <c:pt idx="0">
                  <c:v>Rend el.  - elc/fuel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0.40702275069904564</c:v>
                </c:pt>
                <c:pt idx="1">
                  <c:v>0.41047048525408614</c:v>
                </c:pt>
                <c:pt idx="2">
                  <c:v>0.41496791524857513</c:v>
                </c:pt>
                <c:pt idx="3">
                  <c:v>0.41998888298879389</c:v>
                </c:pt>
                <c:pt idx="4">
                  <c:v>0.41679473353926416</c:v>
                </c:pt>
                <c:pt idx="5">
                  <c:v>0.41630068344651383</c:v>
                </c:pt>
                <c:pt idx="6">
                  <c:v>0.41217846699785465</c:v>
                </c:pt>
                <c:pt idx="7">
                  <c:v>0.40964893699794647</c:v>
                </c:pt>
                <c:pt idx="8">
                  <c:v>0.4037577639024072</c:v>
                </c:pt>
                <c:pt idx="9">
                  <c:v>0.39550333431500373</c:v>
                </c:pt>
                <c:pt idx="10">
                  <c:v>0.40932931845523768</c:v>
                </c:pt>
                <c:pt idx="11">
                  <c:v>0.41940434400834975</c:v>
                </c:pt>
                <c:pt idx="12">
                  <c:v>0.42842166174604429</c:v>
                </c:pt>
                <c:pt idx="13">
                  <c:v>0.42374105813381252</c:v>
                </c:pt>
                <c:pt idx="14">
                  <c:v>0.43047565006585176</c:v>
                </c:pt>
                <c:pt idx="15">
                  <c:v>0.42759274687991955</c:v>
                </c:pt>
                <c:pt idx="16">
                  <c:v>0.43331764241954573</c:v>
                </c:pt>
                <c:pt idx="17">
                  <c:v>0.43569577498609607</c:v>
                </c:pt>
              </c:numCache>
            </c:numRef>
          </c:yVal>
          <c:smooth val="1"/>
          <c:extLst>
            <c:ext xmlns:c16="http://schemas.microsoft.com/office/drawing/2014/chart" uri="{C3380CC4-5D6E-409C-BE32-E72D297353CC}">
              <c16:uniqueId val="{00000000-72B9-4CC8-8AC6-CD38BA1D70FD}"/>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'5-x'!$J$114</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'5-x'!$L$114:$AB$114</c:f>
              <c:numCache>
                <c:formatCode>0.0%</c:formatCode>
                <c:ptCount val="17"/>
                <c:pt idx="0">
                  <c:v>8.4706187777443542E-3</c:v>
                </c:pt>
                <c:pt idx="1">
                  <c:v>1.0956768284338558E-2</c:v>
                </c:pt>
                <c:pt idx="2">
                  <c:v>1.2099652902589186E-2</c:v>
                </c:pt>
                <c:pt idx="3">
                  <c:v>-7.6053190427303186E-3</c:v>
                </c:pt>
                <c:pt idx="4">
                  <c:v>-1.1853558910283057E-3</c:v>
                </c:pt>
                <c:pt idx="5">
                  <c:v>-9.9020170097530169E-3</c:v>
                </c:pt>
                <c:pt idx="6">
                  <c:v>-6.1369775532726933E-3</c:v>
                </c:pt>
                <c:pt idx="7">
                  <c:v>-1.438102864055224E-2</c:v>
                </c:pt>
                <c:pt idx="8">
                  <c:v>-2.044401451905864E-2</c:v>
                </c:pt>
                <c:pt idx="9">
                  <c:v>3.4957945839268367E-2</c:v>
                </c:pt>
                <c:pt idx="10">
                  <c:v>2.4613496025972514E-2</c:v>
                </c:pt>
                <c:pt idx="11">
                  <c:v>2.1500296471690827E-2</c:v>
                </c:pt>
                <c:pt idx="12">
                  <c:v>-1.0925226313617808E-2</c:v>
                </c:pt>
                <c:pt idx="13">
                  <c:v>1.5893177691344906E-2</c:v>
                </c:pt>
                <c:pt idx="14">
                  <c:v>-6.6970180206271657E-3</c:v>
                </c:pt>
                <c:pt idx="15">
                  <c:v>1.338866381948689E-2</c:v>
                </c:pt>
                <c:pt idx="16">
                  <c:v>5.4881969570206302E-3</c:v>
                </c:pt>
              </c:numCache>
            </c:numRef>
          </c:yVal>
          <c:smooth val="1"/>
          <c:extLst>
            <c:ext xmlns:c16="http://schemas.microsoft.com/office/drawing/2014/chart" uri="{C3380CC4-5D6E-409C-BE32-E72D297353CC}">
              <c16:uniqueId val="{00000001-72B9-4CC8-8AC6-CD38BA1D70FD}"/>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0804470305717"/>
          <c:y val="4.5716875614552607E-2"/>
          <c:w val="0.77107993904128569"/>
          <c:h val="0.72694659537856421"/>
        </c:manualLayout>
      </c:layout>
      <c:scatterChart>
        <c:scatterStyle val="smoothMarker"/>
        <c:varyColors val="0"/>
        <c:ser>
          <c:idx val="0"/>
          <c:order val="0"/>
          <c:tx>
            <c:strRef>
              <c:f>'5-x'!$A$90</c:f>
              <c:strCache>
                <c:ptCount val="1"/>
                <c:pt idx="0">
                  <c:v>Rend totale CHP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'5-x'!$K$90:$AB$90</c:f>
              <c:numCache>
                <c:formatCode>0.00%</c:formatCode>
                <c:ptCount val="18"/>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numCache>
            </c:numRef>
          </c:yVal>
          <c:smooth val="1"/>
          <c:extLst>
            <c:ext xmlns:c16="http://schemas.microsoft.com/office/drawing/2014/chart" uri="{C3380CC4-5D6E-409C-BE32-E72D297353CC}">
              <c16:uniqueId val="{00000000-AAE9-40AA-845A-6B17DF6F269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'5-x'!$J$111</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'5-x'!$L$111:$AB$111</c:f>
              <c:numCache>
                <c:formatCode>0.0%</c:formatCode>
                <c:ptCount val="17"/>
                <c:pt idx="0">
                  <c:v>1.2429101576957979E-2</c:v>
                </c:pt>
                <c:pt idx="1">
                  <c:v>-1.966137356961517E-2</c:v>
                </c:pt>
                <c:pt idx="2">
                  <c:v>1.5287838355035221E-2</c:v>
                </c:pt>
                <c:pt idx="3">
                  <c:v>-2.7032324051442513E-3</c:v>
                </c:pt>
                <c:pt idx="4">
                  <c:v>-3.9855261507717454E-3</c:v>
                </c:pt>
                <c:pt idx="5">
                  <c:v>2.5883210041366844E-2</c:v>
                </c:pt>
                <c:pt idx="6">
                  <c:v>-9.3642817024591762E-3</c:v>
                </c:pt>
                <c:pt idx="7">
                  <c:v>5.5940529467150002E-2</c:v>
                </c:pt>
                <c:pt idx="8">
                  <c:v>-1.0120623597478007E-2</c:v>
                </c:pt>
                <c:pt idx="9">
                  <c:v>1.1805126402653077E-2</c:v>
                </c:pt>
                <c:pt idx="10">
                  <c:v>-1.8823722218762606E-3</c:v>
                </c:pt>
                <c:pt idx="11">
                  <c:v>-3.8439902719991093E-3</c:v>
                </c:pt>
                <c:pt idx="12">
                  <c:v>-1.9972089731430387E-3</c:v>
                </c:pt>
                <c:pt idx="13">
                  <c:v>-9.9954956689130015E-4</c:v>
                </c:pt>
                <c:pt idx="14">
                  <c:v>5.6832343531159069E-3</c:v>
                </c:pt>
                <c:pt idx="15">
                  <c:v>2.2404043289931952E-3</c:v>
                </c:pt>
                <c:pt idx="16">
                  <c:v>5.6793798168386367E-4</c:v>
                </c:pt>
              </c:numCache>
            </c:numRef>
          </c:yVal>
          <c:smooth val="1"/>
          <c:extLst>
            <c:ext xmlns:c16="http://schemas.microsoft.com/office/drawing/2014/chart" uri="{C3380CC4-5D6E-409C-BE32-E72D297353CC}">
              <c16:uniqueId val="{00000001-AAE9-40AA-845A-6B17DF6F269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layout>
        <c:manualLayout>
          <c:xMode val="edge"/>
          <c:yMode val="edge"/>
          <c:x val="3.2854437979126259E-2"/>
          <c:y val="0.8887536873156342"/>
          <c:w val="0.94308857485914854"/>
          <c:h val="8.78318584070796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'5-x'!$A$106</c:f>
              <c:strCache>
                <c:ptCount val="1"/>
                <c:pt idx="0">
                  <c:v>Rend el. CHP - elc/fuel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'5-x'!$K$106:$AB$106</c:f>
              <c:numCache>
                <c:formatCode>0.00%</c:formatCode>
                <c:ptCount val="18"/>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numCache>
            </c:numRef>
          </c:yVal>
          <c:smooth val="1"/>
          <c:extLst>
            <c:ext xmlns:c16="http://schemas.microsoft.com/office/drawing/2014/chart" uri="{C3380CC4-5D6E-409C-BE32-E72D297353CC}">
              <c16:uniqueId val="{00000000-BBE8-4B7E-84CE-A9AEB3CCD6EB}"/>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'5-x'!$J$115</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'5-x'!$L$115:$AB$115</c:f>
              <c:numCache>
                <c:formatCode>0.0%</c:formatCode>
                <c:ptCount val="17"/>
                <c:pt idx="0">
                  <c:v>1.0527881995278987E-2</c:v>
                </c:pt>
                <c:pt idx="1">
                  <c:v>8.2152568885118793E-3</c:v>
                </c:pt>
                <c:pt idx="2">
                  <c:v>1.0046563499350736E-2</c:v>
                </c:pt>
                <c:pt idx="3">
                  <c:v>2.0766502551245347E-2</c:v>
                </c:pt>
                <c:pt idx="4">
                  <c:v>-7.0081494960784196E-3</c:v>
                </c:pt>
                <c:pt idx="5">
                  <c:v>-2.9576900111815241E-2</c:v>
                </c:pt>
                <c:pt idx="6">
                  <c:v>1.0175515072055719E-2</c:v>
                </c:pt>
                <c:pt idx="7">
                  <c:v>-1.0619402383049703E-4</c:v>
                </c:pt>
                <c:pt idx="8">
                  <c:v>-1.7942307826878001E-2</c:v>
                </c:pt>
                <c:pt idx="9">
                  <c:v>3.8204974336284891E-2</c:v>
                </c:pt>
                <c:pt idx="10">
                  <c:v>2.1806717053374669E-2</c:v>
                </c:pt>
                <c:pt idx="11">
                  <c:v>1.2857286427822467E-2</c:v>
                </c:pt>
                <c:pt idx="12">
                  <c:v>-1.0669087045600767E-2</c:v>
                </c:pt>
                <c:pt idx="13">
                  <c:v>3.2064123721087245E-3</c:v>
                </c:pt>
                <c:pt idx="14">
                  <c:v>-1.2423477343846079E-2</c:v>
                </c:pt>
                <c:pt idx="15">
                  <c:v>1.6636105367948018E-2</c:v>
                </c:pt>
                <c:pt idx="16">
                  <c:v>2.0265288910905177E-2</c:v>
                </c:pt>
              </c:numCache>
            </c:numRef>
          </c:yVal>
          <c:smooth val="1"/>
          <c:extLst>
            <c:ext xmlns:c16="http://schemas.microsoft.com/office/drawing/2014/chart" uri="{C3380CC4-5D6E-409C-BE32-E72D297353CC}">
              <c16:uniqueId val="{00000001-BBE8-4B7E-84CE-A9AEB3CCD6EB}"/>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'6-y'!$A$20</c:f>
              <c:strCache>
                <c:ptCount val="1"/>
                <c:pt idx="0">
                  <c:v>Totale</c:v>
                </c:pt>
              </c:strCache>
            </c:strRef>
          </c:tx>
          <c:spPr>
            <a:ln w="25400">
              <a:solidFill>
                <a:srgbClr val="FF00FF"/>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'6-y'!$B$20:$AB$20</c:f>
              <c:numCache>
                <c:formatCode>#,##0</c:formatCode>
                <c:ptCount val="27"/>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numCache>
            </c:numRef>
          </c:val>
          <c:smooth val="1"/>
          <c:extLst>
            <c:ext xmlns:c16="http://schemas.microsoft.com/office/drawing/2014/chart" uri="{C3380CC4-5D6E-409C-BE32-E72D297353CC}">
              <c16:uniqueId val="{00000000-8D9A-4C84-869A-F723A35F5082}"/>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'6-y'!$B$6:$AB$6</c:f>
              <c:numCache>
                <c:formatCode>#,##0</c:formatCode>
                <c:ptCount val="27"/>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numCache>
            </c:numRef>
          </c:val>
          <c:smooth val="1"/>
          <c:extLst>
            <c:ext xmlns:c16="http://schemas.microsoft.com/office/drawing/2014/chart" uri="{C3380CC4-5D6E-409C-BE32-E72D297353CC}">
              <c16:uniqueId val="{00000001-8D9A-4C84-869A-F723A35F5082}"/>
            </c:ext>
          </c:extLst>
        </c:ser>
        <c:ser>
          <c:idx val="2"/>
          <c:order val="2"/>
          <c:tx>
            <c:strRef>
              <c:f>'6-y'!$A$13</c:f>
              <c:strCache>
                <c:ptCount val="1"/>
                <c:pt idx="0">
                  <c:v>Produzione elettrica da impianti cogenerativi</c:v>
                </c:pt>
              </c:strCache>
            </c:strRef>
          </c:tx>
          <c:spPr>
            <a:ln w="25400">
              <a:solidFill>
                <a:srgbClr val="00FF00"/>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'6-y'!$B$13:$AB$13</c:f>
              <c:numCache>
                <c:formatCode>#,##0.0</c:formatCode>
                <c:ptCount val="27"/>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numCache>
            </c:numRef>
          </c:val>
          <c:smooth val="1"/>
          <c:extLst>
            <c:ext xmlns:c16="http://schemas.microsoft.com/office/drawing/2014/chart" uri="{C3380CC4-5D6E-409C-BE32-E72D297353CC}">
              <c16:uniqueId val="{00000002-8D9A-4C84-869A-F723A35F5082}"/>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400" b="1" i="0" u="none" strike="noStrike" baseline="0">
                    <a:solidFill>
                      <a:srgbClr val="000000"/>
                    </a:solidFill>
                    <a:latin typeface="Arial"/>
                    <a:ea typeface="Arial"/>
                    <a:cs typeface="Arial"/>
                  </a:defRPr>
                </a:pPr>
                <a:r>
                  <a:rPr lang="it-IT" sz="1400"/>
                  <a:t>Produzione termoelettrica (TWh)</a:t>
                </a:r>
              </a:p>
            </c:rich>
          </c:tx>
          <c:layout>
            <c:manualLayout>
              <c:xMode val="edge"/>
              <c:yMode val="edge"/>
              <c:x val="6.5812528686296737E-4"/>
              <c:y val="2.9501084158501242E-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'5-x'!$A$91</c:f>
              <c:strCache>
                <c:ptCount val="1"/>
                <c:pt idx="0">
                  <c:v>Rend el. eq. CHP - elc/fuel elc</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'5-x'!$K$91:$AB$91</c:f>
              <c:numCache>
                <c:formatCode>0.00%</c:formatCode>
                <c:ptCount val="18"/>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numCache>
            </c:numRef>
          </c:yVal>
          <c:smooth val="1"/>
          <c:extLst>
            <c:ext xmlns:c16="http://schemas.microsoft.com/office/drawing/2014/chart" uri="{C3380CC4-5D6E-409C-BE32-E72D297353CC}">
              <c16:uniqueId val="{00000000-1AB6-487D-A0A8-7B58AAD7FAB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'5-x'!$J$112</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'5-x'!$L$112:$AB$112</c:f>
              <c:numCache>
                <c:formatCode>0.0%</c:formatCode>
                <c:ptCount val="17"/>
                <c:pt idx="0">
                  <c:v>1.804482964734011E-2</c:v>
                </c:pt>
                <c:pt idx="1">
                  <c:v>-1.4723203769139825E-2</c:v>
                </c:pt>
                <c:pt idx="2">
                  <c:v>1.8596280743851112E-2</c:v>
                </c:pt>
                <c:pt idx="3">
                  <c:v>1.2758201701093652E-2</c:v>
                </c:pt>
                <c:pt idx="4">
                  <c:v>-1.2387753608145036E-2</c:v>
                </c:pt>
                <c:pt idx="5">
                  <c:v>1.4391965916007221E-2</c:v>
                </c:pt>
                <c:pt idx="6">
                  <c:v>-1.2620192307691847E-2</c:v>
                </c:pt>
                <c:pt idx="7">
                  <c:v>6.5983344010249745E-2</c:v>
                </c:pt>
                <c:pt idx="8">
                  <c:v>-2.3153942428035257E-2</c:v>
                </c:pt>
                <c:pt idx="9">
                  <c:v>2.9019680703519235E-2</c:v>
                </c:pt>
                <c:pt idx="10">
                  <c:v>4.3019165196034326E-3</c:v>
                </c:pt>
                <c:pt idx="11">
                  <c:v>6.5195647997295936E-4</c:v>
                </c:pt>
                <c:pt idx="12">
                  <c:v>-5.8037425903086914E-3</c:v>
                </c:pt>
                <c:pt idx="13">
                  <c:v>1.0865525975956025E-4</c:v>
                </c:pt>
                <c:pt idx="14">
                  <c:v>6.8501800158826676E-4</c:v>
                </c:pt>
                <c:pt idx="15">
                  <c:v>6.9251569531911805E-3</c:v>
                </c:pt>
                <c:pt idx="16">
                  <c:v>9.605034037706961E-3</c:v>
                </c:pt>
              </c:numCache>
            </c:numRef>
          </c:yVal>
          <c:smooth val="1"/>
          <c:extLst>
            <c:ext xmlns:c16="http://schemas.microsoft.com/office/drawing/2014/chart" uri="{C3380CC4-5D6E-409C-BE32-E72D297353CC}">
              <c16:uniqueId val="{00000001-1AB6-487D-A0A8-7B58AAD7FAB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0.49327525543593176</c:v>
                </c:pt>
                <c:pt idx="1">
                  <c:v>0.50132387481501517</c:v>
                </c:pt>
                <c:pt idx="2">
                  <c:v>0.50362630835511901</c:v>
                </c:pt>
                <c:pt idx="3">
                  <c:v>0.50854834523639436</c:v>
                </c:pt>
                <c:pt idx="4">
                  <c:v>0.5091650869875789</c:v>
                </c:pt>
                <c:pt idx="5">
                  <c:v>0.51756742893612306</c:v>
                </c:pt>
                <c:pt idx="6">
                  <c:v>0.5203203635253083</c:v>
                </c:pt>
                <c:pt idx="7">
                  <c:v>0.51595169784244399</c:v>
                </c:pt>
                <c:pt idx="8">
                  <c:v>0.52739193389286099</c:v>
                </c:pt>
                <c:pt idx="9">
                  <c:v>0.52175228553181907</c:v>
                </c:pt>
                <c:pt idx="10">
                  <c:v>0.53565313385240021</c:v>
                </c:pt>
                <c:pt idx="11">
                  <c:v>0.54778490693048398</c:v>
                </c:pt>
                <c:pt idx="12">
                  <c:v>0.55333698150827981</c:v>
                </c:pt>
                <c:pt idx="13">
                  <c:v>0.55482571373873157</c:v>
                </c:pt>
                <c:pt idx="14">
                  <c:v>0.56297349414953257</c:v>
                </c:pt>
                <c:pt idx="15">
                  <c:v>0.56744063895228924</c:v>
                </c:pt>
                <c:pt idx="16">
                  <c:v>0.56506681683388105</c:v>
                </c:pt>
                <c:pt idx="17">
                  <c:v>0.55965006921177296</c:v>
                </c:pt>
              </c:numCache>
            </c:numRef>
          </c:yVal>
          <c:smooth val="1"/>
          <c:extLst>
            <c:ext xmlns:c16="http://schemas.microsoft.com/office/drawing/2014/chart" uri="{C3380CC4-5D6E-409C-BE32-E72D297353CC}">
              <c16:uniqueId val="{00000004-EC47-4546-A6F8-32BC9B2DAC03}"/>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0.40702275069904564</c:v>
                </c:pt>
                <c:pt idx="1">
                  <c:v>0.41047048525408614</c:v>
                </c:pt>
                <c:pt idx="2">
                  <c:v>0.41496791524857513</c:v>
                </c:pt>
                <c:pt idx="3">
                  <c:v>0.41998888298879389</c:v>
                </c:pt>
                <c:pt idx="4">
                  <c:v>0.41679473353926416</c:v>
                </c:pt>
                <c:pt idx="5">
                  <c:v>0.41630068344651383</c:v>
                </c:pt>
                <c:pt idx="6">
                  <c:v>0.41217846699785465</c:v>
                </c:pt>
                <c:pt idx="7">
                  <c:v>0.40964893699794647</c:v>
                </c:pt>
                <c:pt idx="8">
                  <c:v>0.4037577639024072</c:v>
                </c:pt>
                <c:pt idx="9">
                  <c:v>0.39550333431500373</c:v>
                </c:pt>
                <c:pt idx="10">
                  <c:v>0.40932931845523768</c:v>
                </c:pt>
                <c:pt idx="11">
                  <c:v>0.41940434400834975</c:v>
                </c:pt>
                <c:pt idx="12">
                  <c:v>0.42842166174604429</c:v>
                </c:pt>
                <c:pt idx="13">
                  <c:v>0.42374105813381252</c:v>
                </c:pt>
                <c:pt idx="14">
                  <c:v>0.43047565006585176</c:v>
                </c:pt>
                <c:pt idx="15">
                  <c:v>0.42759274687991955</c:v>
                </c:pt>
                <c:pt idx="16">
                  <c:v>0.43331764241954573</c:v>
                </c:pt>
                <c:pt idx="17">
                  <c:v>0.43569577498609607</c:v>
                </c:pt>
              </c:numCache>
            </c:numRef>
          </c:yVal>
          <c:smooth val="1"/>
          <c:extLst>
            <c:ext xmlns:c16="http://schemas.microsoft.com/office/drawing/2014/chart" uri="{C3380CC4-5D6E-409C-BE32-E72D297353CC}">
              <c16:uniqueId val="{00000003-EC47-4546-A6F8-32BC9B2DAC03}"/>
            </c:ext>
          </c:extLst>
        </c:ser>
        <c:ser>
          <c:idx val="2"/>
          <c:order val="2"/>
          <c:spPr>
            <a:ln w="38100">
              <a:solidFill>
                <a:srgbClr val="C00000"/>
              </a:solidFill>
              <a:prstDash val="sysDot"/>
            </a:ln>
          </c:spPr>
          <c:marker>
            <c:symbol val="none"/>
          </c:marker>
          <c:xVal>
            <c:numRef>
              <c:f>'5-x'!$AE$87:$AO$87</c:f>
              <c:numCache>
                <c:formatCode>General</c:formatCode>
                <c:ptCount val="11"/>
                <c:pt idx="0">
                  <c:v>2025</c:v>
                </c:pt>
                <c:pt idx="1">
                  <c:v>2026</c:v>
                </c:pt>
                <c:pt idx="2">
                  <c:v>2028</c:v>
                </c:pt>
                <c:pt idx="3">
                  <c:v>2030</c:v>
                </c:pt>
                <c:pt idx="4">
                  <c:v>2032</c:v>
                </c:pt>
                <c:pt idx="5">
                  <c:v>2035</c:v>
                </c:pt>
                <c:pt idx="6">
                  <c:v>2040</c:v>
                </c:pt>
                <c:pt idx="7">
                  <c:v>2045</c:v>
                </c:pt>
                <c:pt idx="8">
                  <c:v>2050</c:v>
                </c:pt>
                <c:pt idx="9">
                  <c:v>2060</c:v>
                </c:pt>
                <c:pt idx="10">
                  <c:v>2080</c:v>
                </c:pt>
              </c:numCache>
            </c:numRef>
          </c:xVal>
          <c:yVal>
            <c:numRef>
              <c:f>'5-x'!$AE$88:$AO$88</c:f>
              <c:numCache>
                <c:formatCode>0.0%</c:formatCode>
                <c:ptCount val="11"/>
                <c:pt idx="0">
                  <c:v>0.6001300318446724</c:v>
                </c:pt>
                <c:pt idx="1">
                  <c:v>0.60810287604869273</c:v>
                </c:pt>
                <c:pt idx="2">
                  <c:v>0.61661775054908741</c:v>
                </c:pt>
                <c:pt idx="3">
                  <c:v>0.63398408717697585</c:v>
                </c:pt>
                <c:pt idx="4">
                  <c:v>0.63348170329299558</c:v>
                </c:pt>
                <c:pt idx="5">
                  <c:v>0.66535661333173146</c:v>
                </c:pt>
                <c:pt idx="6">
                  <c:v>0.67015288623140512</c:v>
                </c:pt>
                <c:pt idx="7">
                  <c:v>0.67418592317741033</c:v>
                </c:pt>
                <c:pt idx="8">
                  <c:v>0.71748322800905007</c:v>
                </c:pt>
                <c:pt idx="9">
                  <c:v>0.63420753713329681</c:v>
                </c:pt>
                <c:pt idx="10">
                  <c:v>0.71793933284061295</c:v>
                </c:pt>
              </c:numCache>
            </c:numRef>
          </c:yVal>
          <c:smooth val="1"/>
          <c:extLst>
            <c:ext xmlns:c16="http://schemas.microsoft.com/office/drawing/2014/chart" uri="{C3380CC4-5D6E-409C-BE32-E72D297353CC}">
              <c16:uniqueId val="{00000005-EC47-4546-A6F8-32BC9B2DAC03}"/>
            </c:ext>
          </c:extLst>
        </c:ser>
        <c:ser>
          <c:idx val="3"/>
          <c:order val="3"/>
          <c:spPr>
            <a:ln w="38100">
              <a:solidFill>
                <a:srgbClr val="FFC000"/>
              </a:solidFill>
              <a:prstDash val="sysDot"/>
            </a:ln>
          </c:spPr>
          <c:marker>
            <c:symbol val="none"/>
          </c:marker>
          <c:xVal>
            <c:numRef>
              <c:f>'5-x'!$AE$87:$AO$87</c:f>
              <c:numCache>
                <c:formatCode>General</c:formatCode>
                <c:ptCount val="11"/>
                <c:pt idx="0">
                  <c:v>2025</c:v>
                </c:pt>
                <c:pt idx="1">
                  <c:v>2026</c:v>
                </c:pt>
                <c:pt idx="2">
                  <c:v>2028</c:v>
                </c:pt>
                <c:pt idx="3">
                  <c:v>2030</c:v>
                </c:pt>
                <c:pt idx="4">
                  <c:v>2032</c:v>
                </c:pt>
                <c:pt idx="5">
                  <c:v>2035</c:v>
                </c:pt>
                <c:pt idx="6">
                  <c:v>2040</c:v>
                </c:pt>
                <c:pt idx="7">
                  <c:v>2045</c:v>
                </c:pt>
                <c:pt idx="8">
                  <c:v>2050</c:v>
                </c:pt>
                <c:pt idx="9">
                  <c:v>2060</c:v>
                </c:pt>
                <c:pt idx="10">
                  <c:v>2080</c:v>
                </c:pt>
              </c:numCache>
            </c:numRef>
          </c:xVal>
          <c:yVal>
            <c:numRef>
              <c:f>'5-x'!$AE$105:$AO$105</c:f>
              <c:numCache>
                <c:formatCode>0.0%</c:formatCode>
                <c:ptCount val="11"/>
                <c:pt idx="0">
                  <c:v>0.43403750080266679</c:v>
                </c:pt>
                <c:pt idx="1">
                  <c:v>0.43987326880343719</c:v>
                </c:pt>
                <c:pt idx="2">
                  <c:v>0.43835938233276989</c:v>
                </c:pt>
                <c:pt idx="3">
                  <c:v>0.42837225834561127</c:v>
                </c:pt>
                <c:pt idx="4">
                  <c:v>0.43688638906970484</c:v>
                </c:pt>
                <c:pt idx="5">
                  <c:v>0.43190317682934448</c:v>
                </c:pt>
                <c:pt idx="6">
                  <c:v>0.43504123577174636</c:v>
                </c:pt>
                <c:pt idx="7">
                  <c:v>0.43063545183958996</c:v>
                </c:pt>
                <c:pt idx="8">
                  <c:v>0.4438761830745756</c:v>
                </c:pt>
                <c:pt idx="9">
                  <c:v>0.48105462833984464</c:v>
                </c:pt>
                <c:pt idx="10">
                  <c:v>0.53661033136680758</c:v>
                </c:pt>
              </c:numCache>
            </c:numRef>
          </c:yVal>
          <c:smooth val="1"/>
          <c:extLst>
            <c:ext xmlns:c16="http://schemas.microsoft.com/office/drawing/2014/chart" uri="{C3380CC4-5D6E-409C-BE32-E72D297353CC}">
              <c16:uniqueId val="{00000006-EC47-4546-A6F8-32BC9B2DAC03}"/>
            </c:ext>
          </c:extLst>
        </c:ser>
        <c:dLbls>
          <c:showLegendKey val="0"/>
          <c:showVal val="0"/>
          <c:showCatName val="0"/>
          <c:showSerName val="0"/>
          <c:showPercent val="0"/>
          <c:showBubbleSize val="0"/>
        </c:dLbls>
        <c:axId val="1218186943"/>
        <c:axId val="1218185503"/>
      </c:scatterChart>
      <c:valAx>
        <c:axId val="1218186943"/>
        <c:scaling>
          <c:orientation val="minMax"/>
          <c:max val="205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0.49327525543593176</c:v>
                </c:pt>
                <c:pt idx="1">
                  <c:v>0.50132387481501517</c:v>
                </c:pt>
                <c:pt idx="2">
                  <c:v>0.50362630835511901</c:v>
                </c:pt>
                <c:pt idx="3">
                  <c:v>0.50854834523639436</c:v>
                </c:pt>
                <c:pt idx="4">
                  <c:v>0.5091650869875789</c:v>
                </c:pt>
                <c:pt idx="5">
                  <c:v>0.51756742893612306</c:v>
                </c:pt>
                <c:pt idx="6">
                  <c:v>0.5203203635253083</c:v>
                </c:pt>
                <c:pt idx="7">
                  <c:v>0.51595169784244399</c:v>
                </c:pt>
                <c:pt idx="8">
                  <c:v>0.52739193389286099</c:v>
                </c:pt>
                <c:pt idx="9">
                  <c:v>0.52175228553181907</c:v>
                </c:pt>
                <c:pt idx="10">
                  <c:v>0.53565313385240021</c:v>
                </c:pt>
                <c:pt idx="11">
                  <c:v>0.54778490693048398</c:v>
                </c:pt>
                <c:pt idx="12">
                  <c:v>0.55333698150827981</c:v>
                </c:pt>
                <c:pt idx="13">
                  <c:v>0.55482571373873157</c:v>
                </c:pt>
                <c:pt idx="14">
                  <c:v>0.56297349414953257</c:v>
                </c:pt>
                <c:pt idx="15">
                  <c:v>0.56744063895228924</c:v>
                </c:pt>
                <c:pt idx="16">
                  <c:v>0.56506681683388105</c:v>
                </c:pt>
                <c:pt idx="17">
                  <c:v>0.55965006921177296</c:v>
                </c:pt>
              </c:numCache>
            </c:numRef>
          </c:yVal>
          <c:smooth val="1"/>
          <c:extLst>
            <c:ext xmlns:c16="http://schemas.microsoft.com/office/drawing/2014/chart" uri="{C3380CC4-5D6E-409C-BE32-E72D297353CC}">
              <c16:uniqueId val="{00000000-FE74-475D-B70B-097A11939FB1}"/>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0.40702275069904564</c:v>
                </c:pt>
                <c:pt idx="1">
                  <c:v>0.41047048525408614</c:v>
                </c:pt>
                <c:pt idx="2">
                  <c:v>0.41496791524857513</c:v>
                </c:pt>
                <c:pt idx="3">
                  <c:v>0.41998888298879389</c:v>
                </c:pt>
                <c:pt idx="4">
                  <c:v>0.41679473353926416</c:v>
                </c:pt>
                <c:pt idx="5">
                  <c:v>0.41630068344651383</c:v>
                </c:pt>
                <c:pt idx="6">
                  <c:v>0.41217846699785465</c:v>
                </c:pt>
                <c:pt idx="7">
                  <c:v>0.40964893699794647</c:v>
                </c:pt>
                <c:pt idx="8">
                  <c:v>0.4037577639024072</c:v>
                </c:pt>
                <c:pt idx="9">
                  <c:v>0.39550333431500373</c:v>
                </c:pt>
                <c:pt idx="10">
                  <c:v>0.40932931845523768</c:v>
                </c:pt>
                <c:pt idx="11">
                  <c:v>0.41940434400834975</c:v>
                </c:pt>
                <c:pt idx="12">
                  <c:v>0.42842166174604429</c:v>
                </c:pt>
                <c:pt idx="13">
                  <c:v>0.42374105813381252</c:v>
                </c:pt>
                <c:pt idx="14">
                  <c:v>0.43047565006585176</c:v>
                </c:pt>
                <c:pt idx="15">
                  <c:v>0.42759274687991955</c:v>
                </c:pt>
                <c:pt idx="16">
                  <c:v>0.43331764241954573</c:v>
                </c:pt>
                <c:pt idx="17">
                  <c:v>0.43569577498609607</c:v>
                </c:pt>
              </c:numCache>
            </c:numRef>
          </c:yVal>
          <c:smooth val="1"/>
          <c:extLst>
            <c:ext xmlns:c16="http://schemas.microsoft.com/office/drawing/2014/chart" uri="{C3380CC4-5D6E-409C-BE32-E72D297353CC}">
              <c16:uniqueId val="{00000001-FE74-475D-B70B-097A11939FB1}"/>
            </c:ext>
          </c:extLst>
        </c:ser>
        <c:ser>
          <c:idx val="2"/>
          <c:order val="2"/>
          <c:spPr>
            <a:ln w="38100">
              <a:solidFill>
                <a:srgbClr val="C00000"/>
              </a:solidFill>
              <a:prstDash val="sysDot"/>
            </a:ln>
          </c:spPr>
          <c:marker>
            <c:symbol val="none"/>
          </c:marker>
          <c:xVal>
            <c:numRef>
              <c:f>'5-x'!$AE$87:$AO$87</c:f>
              <c:numCache>
                <c:formatCode>General</c:formatCode>
                <c:ptCount val="11"/>
                <c:pt idx="0">
                  <c:v>2025</c:v>
                </c:pt>
                <c:pt idx="1">
                  <c:v>2026</c:v>
                </c:pt>
                <c:pt idx="2">
                  <c:v>2028</c:v>
                </c:pt>
                <c:pt idx="3">
                  <c:v>2030</c:v>
                </c:pt>
                <c:pt idx="4">
                  <c:v>2032</c:v>
                </c:pt>
                <c:pt idx="5">
                  <c:v>2035</c:v>
                </c:pt>
                <c:pt idx="6">
                  <c:v>2040</c:v>
                </c:pt>
                <c:pt idx="7">
                  <c:v>2045</c:v>
                </c:pt>
                <c:pt idx="8">
                  <c:v>2050</c:v>
                </c:pt>
                <c:pt idx="9">
                  <c:v>2060</c:v>
                </c:pt>
                <c:pt idx="10">
                  <c:v>2080</c:v>
                </c:pt>
              </c:numCache>
            </c:numRef>
          </c:xVal>
          <c:yVal>
            <c:numRef>
              <c:f>'5-x'!$AE$89:$AO$89</c:f>
              <c:numCache>
                <c:formatCode>0.0%</c:formatCode>
                <c:ptCount val="11"/>
                <c:pt idx="0">
                  <c:v>0.51125306973146711</c:v>
                </c:pt>
                <c:pt idx="1">
                  <c:v>0.51734677134693197</c:v>
                </c:pt>
                <c:pt idx="2">
                  <c:v>0.54983140579711065</c:v>
                </c:pt>
                <c:pt idx="3">
                  <c:v>0.57416538568994779</c:v>
                </c:pt>
                <c:pt idx="4">
                  <c:v>0.56866515378371796</c:v>
                </c:pt>
                <c:pt idx="5">
                  <c:v>0.51140082276167342</c:v>
                </c:pt>
                <c:pt idx="6">
                  <c:v>0.50192157434355411</c:v>
                </c:pt>
                <c:pt idx="7">
                  <c:v>0.53411907150429228</c:v>
                </c:pt>
                <c:pt idx="8">
                  <c:v>0.51242786773782178</c:v>
                </c:pt>
                <c:pt idx="9">
                  <c:v>0.52323127344784104</c:v>
                </c:pt>
                <c:pt idx="10">
                  <c:v>0.53081205958100874</c:v>
                </c:pt>
              </c:numCache>
            </c:numRef>
          </c:yVal>
          <c:smooth val="1"/>
          <c:extLst>
            <c:ext xmlns:c16="http://schemas.microsoft.com/office/drawing/2014/chart" uri="{C3380CC4-5D6E-409C-BE32-E72D297353CC}">
              <c16:uniqueId val="{00000002-FE74-475D-B70B-097A11939FB1}"/>
            </c:ext>
          </c:extLst>
        </c:ser>
        <c:ser>
          <c:idx val="3"/>
          <c:order val="3"/>
          <c:spPr>
            <a:ln w="38100">
              <a:solidFill>
                <a:srgbClr val="FFC000"/>
              </a:solidFill>
              <a:prstDash val="sysDot"/>
            </a:ln>
          </c:spPr>
          <c:marker>
            <c:symbol val="none"/>
          </c:marker>
          <c:xVal>
            <c:numRef>
              <c:f>'5-x'!$AE$87:$AO$87</c:f>
              <c:numCache>
                <c:formatCode>General</c:formatCode>
                <c:ptCount val="11"/>
                <c:pt idx="0">
                  <c:v>2025</c:v>
                </c:pt>
                <c:pt idx="1">
                  <c:v>2026</c:v>
                </c:pt>
                <c:pt idx="2">
                  <c:v>2028</c:v>
                </c:pt>
                <c:pt idx="3">
                  <c:v>2030</c:v>
                </c:pt>
                <c:pt idx="4">
                  <c:v>2032</c:v>
                </c:pt>
                <c:pt idx="5">
                  <c:v>2035</c:v>
                </c:pt>
                <c:pt idx="6">
                  <c:v>2040</c:v>
                </c:pt>
                <c:pt idx="7">
                  <c:v>2045</c:v>
                </c:pt>
                <c:pt idx="8">
                  <c:v>2050</c:v>
                </c:pt>
                <c:pt idx="9">
                  <c:v>2060</c:v>
                </c:pt>
                <c:pt idx="10">
                  <c:v>2080</c:v>
                </c:pt>
              </c:numCache>
            </c:numRef>
          </c:xVal>
          <c:yVal>
            <c:numRef>
              <c:f>'5-x'!$AE$106:$AO$106</c:f>
              <c:numCache>
                <c:formatCode>0.0%</c:formatCode>
                <c:ptCount val="11"/>
                <c:pt idx="0">
                  <c:v>0.43790881643552609</c:v>
                </c:pt>
                <c:pt idx="1">
                  <c:v>0.42538256748298042</c:v>
                </c:pt>
                <c:pt idx="2">
                  <c:v>0.42948086251049999</c:v>
                </c:pt>
                <c:pt idx="3">
                  <c:v>0.44147089273726076</c:v>
                </c:pt>
                <c:pt idx="4">
                  <c:v>0.44582655340607064</c:v>
                </c:pt>
                <c:pt idx="5">
                  <c:v>0.40512108091811938</c:v>
                </c:pt>
                <c:pt idx="6">
                  <c:v>0.3932261198751133</c:v>
                </c:pt>
                <c:pt idx="7">
                  <c:v>0.41480278937617088</c:v>
                </c:pt>
                <c:pt idx="8">
                  <c:v>0.40452754752704673</c:v>
                </c:pt>
                <c:pt idx="9">
                  <c:v>0.39449624050102877</c:v>
                </c:pt>
                <c:pt idx="10">
                  <c:v>0.38534670322182979</c:v>
                </c:pt>
              </c:numCache>
            </c:numRef>
          </c:yVal>
          <c:smooth val="1"/>
          <c:extLst>
            <c:ext xmlns:c16="http://schemas.microsoft.com/office/drawing/2014/chart" uri="{C3380CC4-5D6E-409C-BE32-E72D297353CC}">
              <c16:uniqueId val="{00000003-FE74-475D-B70B-097A11939FB1}"/>
            </c:ext>
          </c:extLst>
        </c:ser>
        <c:dLbls>
          <c:showLegendKey val="0"/>
          <c:showVal val="0"/>
          <c:showCatName val="0"/>
          <c:showSerName val="0"/>
          <c:showPercent val="0"/>
          <c:showBubbleSize val="0"/>
        </c:dLbls>
        <c:axId val="1218186943"/>
        <c:axId val="1218185503"/>
      </c:scatterChart>
      <c:valAx>
        <c:axId val="1218186943"/>
        <c:scaling>
          <c:orientation val="minMax"/>
          <c:max val="208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'6-y'!$A$20</c:f>
              <c:strCache>
                <c:ptCount val="1"/>
                <c:pt idx="0">
                  <c:v>Totale</c:v>
                </c:pt>
              </c:strCache>
            </c:strRef>
          </c:tx>
          <c:spPr>
            <a:ln w="25400">
              <a:solidFill>
                <a:srgbClr val="FF00FF"/>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'6-y'!$B$20:$AB$20</c:f>
              <c:numCache>
                <c:formatCode>#,##0</c:formatCode>
                <c:ptCount val="27"/>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numCache>
            </c:numRef>
          </c:val>
          <c:smooth val="1"/>
          <c:extLst>
            <c:ext xmlns:c16="http://schemas.microsoft.com/office/drawing/2014/chart" uri="{C3380CC4-5D6E-409C-BE32-E72D297353CC}">
              <c16:uniqueId val="{00000000-6C52-493D-9BCE-D356CC778AD4}"/>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'6-y'!$B$6:$AB$6</c:f>
              <c:numCache>
                <c:formatCode>#,##0</c:formatCode>
                <c:ptCount val="27"/>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numCache>
            </c:numRef>
          </c:val>
          <c:smooth val="1"/>
          <c:extLst>
            <c:ext xmlns:c16="http://schemas.microsoft.com/office/drawing/2014/chart" uri="{C3380CC4-5D6E-409C-BE32-E72D297353CC}">
              <c16:uniqueId val="{00000001-6C52-493D-9BCE-D356CC778AD4}"/>
            </c:ext>
          </c:extLst>
        </c:ser>
        <c:ser>
          <c:idx val="2"/>
          <c:order val="2"/>
          <c:tx>
            <c:strRef>
              <c:f>'6-y'!$A$13</c:f>
              <c:strCache>
                <c:ptCount val="1"/>
                <c:pt idx="0">
                  <c:v>Produzione elettrica da impianti cogenerativi</c:v>
                </c:pt>
              </c:strCache>
            </c:strRef>
          </c:tx>
          <c:spPr>
            <a:ln w="25400">
              <a:solidFill>
                <a:srgbClr val="00FF00"/>
              </a:solidFill>
              <a:prstDash val="solid"/>
            </a:ln>
          </c:spPr>
          <c:marker>
            <c:symbol val="none"/>
          </c:marker>
          <c:cat>
            <c:numRef>
              <c:f>'6-y'!$B$4:$AB$4</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'6-y'!$B$13:$AB$13</c:f>
              <c:numCache>
                <c:formatCode>#,##0.0</c:formatCode>
                <c:ptCount val="27"/>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numCache>
            </c:numRef>
          </c:val>
          <c:smooth val="1"/>
          <c:extLst>
            <c:ext xmlns:c16="http://schemas.microsoft.com/office/drawing/2014/chart" uri="{C3380CC4-5D6E-409C-BE32-E72D297353CC}">
              <c16:uniqueId val="{00000002-6C52-493D-9BCE-D356CC778AD4}"/>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400" b="1" i="0" u="none" strike="noStrike" baseline="0">
                    <a:solidFill>
                      <a:srgbClr val="000000"/>
                    </a:solidFill>
                    <a:latin typeface="Arial"/>
                    <a:ea typeface="Arial"/>
                    <a:cs typeface="Arial"/>
                  </a:defRPr>
                </a:pPr>
                <a:r>
                  <a:rPr lang="it-IT" sz="1400"/>
                  <a:t>Produzione termoelettrica (TWh)</a:t>
                </a:r>
              </a:p>
            </c:rich>
          </c:tx>
          <c:layout>
            <c:manualLayout>
              <c:xMode val="edge"/>
              <c:yMode val="edge"/>
              <c:x val="6.5812528686296737E-4"/>
              <c:y val="2.9501084158501242E-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none"/>
          </c:marker>
          <c:xVal>
            <c:numRef>
              <c:f>'6-y'!$J$44:$AB$44</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'6-y'!$J$46:$AB$46</c:f>
              <c:numCache>
                <c:formatCode>_(* #,##0.0_);_(* \(#,##0.0\);_(* "-"??_);_(@_)</c:formatCode>
                <c:ptCount val="19"/>
                <c:pt idx="0">
                  <c:v>46.348999999999997</c:v>
                </c:pt>
                <c:pt idx="1">
                  <c:v>48.863</c:v>
                </c:pt>
                <c:pt idx="2">
                  <c:v>51.848999999999997</c:v>
                </c:pt>
                <c:pt idx="3">
                  <c:v>54.497</c:v>
                </c:pt>
                <c:pt idx="4">
                  <c:v>52.261000000000003</c:v>
                </c:pt>
                <c:pt idx="5">
                  <c:v>53.965000000000003</c:v>
                </c:pt>
                <c:pt idx="6">
                  <c:v>55.862000000000002</c:v>
                </c:pt>
                <c:pt idx="7">
                  <c:v>57.064900000000002</c:v>
                </c:pt>
                <c:pt idx="8">
                  <c:v>55.301900000000003</c:v>
                </c:pt>
                <c:pt idx="9">
                  <c:v>51.501599999999996</c:v>
                </c:pt>
                <c:pt idx="10">
                  <c:v>42.029799999999987</c:v>
                </c:pt>
                <c:pt idx="11">
                  <c:v>38.687399999999997</c:v>
                </c:pt>
                <c:pt idx="12">
                  <c:v>37.882599999999996</c:v>
                </c:pt>
                <c:pt idx="13">
                  <c:v>37.868299999999991</c:v>
                </c:pt>
                <c:pt idx="14">
                  <c:v>37.812099999999994</c:v>
                </c:pt>
                <c:pt idx="15" formatCode="#,##0.0">
                  <c:v>36.295100000000005</c:v>
                </c:pt>
                <c:pt idx="16" formatCode="#,##0.0">
                  <c:v>35.798500000000004</c:v>
                </c:pt>
                <c:pt idx="17" formatCode="#,##0.000">
                  <c:v>35.810800000000008</c:v>
                </c:pt>
                <c:pt idx="18" formatCode="#,##0.000">
                  <c:v>36.396799999999999</c:v>
                </c:pt>
              </c:numCache>
            </c:numRef>
          </c:yVal>
          <c:smooth val="1"/>
          <c:extLst>
            <c:ext xmlns:c16="http://schemas.microsoft.com/office/drawing/2014/chart" uri="{C3380CC4-5D6E-409C-BE32-E72D297353CC}">
              <c16:uniqueId val="{00000000-F5AE-4256-B98D-A96D936EA1E1}"/>
            </c:ext>
          </c:extLst>
        </c:ser>
        <c:ser>
          <c:idx val="1"/>
          <c:order val="1"/>
          <c:spPr>
            <a:ln w="19050" cap="rnd">
              <a:solidFill>
                <a:schemeClr val="accent2"/>
              </a:solidFill>
              <a:round/>
            </a:ln>
            <a:effectLst/>
          </c:spPr>
          <c:marker>
            <c:symbol val="none"/>
          </c:marker>
          <c:xVal>
            <c:numRef>
              <c:f>'6-y'!$J$44:$AB$44</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'6-y'!$J$55:$AB$55</c:f>
              <c:numCache>
                <c:formatCode>_(* #,##0.0_);_(* \(#,##0.0\);_(* "-"??_);_(@_)</c:formatCode>
                <c:ptCount val="19"/>
                <c:pt idx="0">
                  <c:v>18.297000000000001</c:v>
                </c:pt>
                <c:pt idx="1">
                  <c:v>19.486999999999998</c:v>
                </c:pt>
                <c:pt idx="2">
                  <c:v>20.390999999999998</c:v>
                </c:pt>
                <c:pt idx="3">
                  <c:v>21.521999999999998</c:v>
                </c:pt>
                <c:pt idx="4">
                  <c:v>24.408999999999999</c:v>
                </c:pt>
                <c:pt idx="5">
                  <c:v>24.376000000000001</c:v>
                </c:pt>
                <c:pt idx="6">
                  <c:v>23.849</c:v>
                </c:pt>
                <c:pt idx="7">
                  <c:v>23.5092</c:v>
                </c:pt>
                <c:pt idx="8">
                  <c:v>23.198900000000002</c:v>
                </c:pt>
                <c:pt idx="9">
                  <c:v>23.464000000000002</c:v>
                </c:pt>
                <c:pt idx="10">
                  <c:v>26.5688</c:v>
                </c:pt>
                <c:pt idx="11">
                  <c:v>26.227800000000002</c:v>
                </c:pt>
                <c:pt idx="12">
                  <c:v>26.162499999999994</c:v>
                </c:pt>
                <c:pt idx="13">
                  <c:v>26.151900000000001</c:v>
                </c:pt>
                <c:pt idx="14">
                  <c:v>26.136899999999997</c:v>
                </c:pt>
                <c:pt idx="15" formatCode="#,##0.0">
                  <c:v>26.358800000000002</c:v>
                </c:pt>
                <c:pt idx="16" formatCode="#,##0.0">
                  <c:v>26.134</c:v>
                </c:pt>
                <c:pt idx="17" formatCode="#,##0.000">
                  <c:v>26.582000000000001</c:v>
                </c:pt>
                <c:pt idx="18" formatCode="#,##0.000">
                  <c:v>26.814700000000002</c:v>
                </c:pt>
              </c:numCache>
            </c:numRef>
          </c:yVal>
          <c:smooth val="1"/>
          <c:extLst>
            <c:ext xmlns:c16="http://schemas.microsoft.com/office/drawing/2014/chart" uri="{C3380CC4-5D6E-409C-BE32-E72D297353CC}">
              <c16:uniqueId val="{00000001-F5AE-4256-B98D-A96D936EA1E1}"/>
            </c:ext>
          </c:extLst>
        </c:ser>
        <c:dLbls>
          <c:showLegendKey val="0"/>
          <c:showVal val="0"/>
          <c:showCatName val="0"/>
          <c:showSerName val="0"/>
          <c:showPercent val="0"/>
          <c:showBubbleSize val="0"/>
        </c:dLbls>
        <c:axId val="1523966416"/>
        <c:axId val="1742615168"/>
      </c:scatterChart>
      <c:valAx>
        <c:axId val="1523966416"/>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42615168"/>
        <c:crosses val="autoZero"/>
        <c:crossBetween val="midCat"/>
      </c:valAx>
      <c:valAx>
        <c:axId val="174261516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239664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'25x'!$A$7</c:f>
              <c:strCache>
                <c:ptCount val="1"/>
                <c:pt idx="0">
                  <c:v>Servizi</c:v>
                </c:pt>
              </c:strCache>
            </c:strRef>
          </c:tx>
          <c:spPr>
            <a:ln w="28575">
              <a:noFill/>
            </a:ln>
          </c:spPr>
          <c:xVal>
            <c:numRef>
              <c:f>'25x'!$K$3:$X$3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xVal>
          <c:yVal>
            <c:numRef>
              <c:f>'25x'!$K$7:$X$7</c:f>
              <c:numCache>
                <c:formatCode>_(* #,##0.0_);_(* \(#,##0.0\);_(* "-"??_);_(@_)</c:formatCode>
                <c:ptCount val="14"/>
                <c:pt idx="0">
                  <c:v>83.793000000000006</c:v>
                </c:pt>
                <c:pt idx="1">
                  <c:v>88.276499999999999</c:v>
                </c:pt>
                <c:pt idx="2">
                  <c:v>90.268500000000003</c:v>
                </c:pt>
                <c:pt idx="3">
                  <c:v>93.612200000000001</c:v>
                </c:pt>
                <c:pt idx="4">
                  <c:v>94.83489999999999</c:v>
                </c:pt>
                <c:pt idx="5">
                  <c:v>96.284499999999994</c:v>
                </c:pt>
                <c:pt idx="6">
                  <c:v>97.705100000000002</c:v>
                </c:pt>
                <c:pt idx="7">
                  <c:v>101.0384</c:v>
                </c:pt>
                <c:pt idx="8">
                  <c:v>99.756500000000003</c:v>
                </c:pt>
                <c:pt idx="9">
                  <c:v>98.951399999999992</c:v>
                </c:pt>
                <c:pt idx="10">
                  <c:v>102.9405</c:v>
                </c:pt>
                <c:pt idx="11">
                  <c:v>102.8985</c:v>
                </c:pt>
                <c:pt idx="12">
                  <c:v>104.87479999999999</c:v>
                </c:pt>
                <c:pt idx="13">
                  <c:v>106.02979999999999</c:v>
                </c:pt>
              </c:numCache>
            </c:numRef>
          </c:yVal>
          <c:smooth val="0"/>
          <c:extLst>
            <c:ext xmlns:c16="http://schemas.microsoft.com/office/drawing/2014/chart" uri="{C3380CC4-5D6E-409C-BE32-E72D297353CC}">
              <c16:uniqueId val="{00000000-10F2-4D32-87FB-FAB1083BBE46}"/>
            </c:ext>
          </c:extLst>
        </c:ser>
        <c:dLbls>
          <c:showLegendKey val="0"/>
          <c:showVal val="0"/>
          <c:showCatName val="0"/>
          <c:showSerName val="0"/>
          <c:showPercent val="0"/>
          <c:showBubbleSize val="0"/>
        </c:dLbls>
        <c:axId val="165329536"/>
        <c:axId val="90809088"/>
      </c:scatterChart>
      <c:valAx>
        <c:axId val="165329536"/>
        <c:scaling>
          <c:orientation val="minMax"/>
          <c:min val="2005"/>
        </c:scaling>
        <c:delete val="0"/>
        <c:axPos val="b"/>
        <c:numFmt formatCode="General" sourceLinked="1"/>
        <c:majorTickMark val="out"/>
        <c:minorTickMark val="none"/>
        <c:tickLblPos val="nextTo"/>
        <c:crossAx val="90809088"/>
        <c:crosses val="autoZero"/>
        <c:crossBetween val="midCat"/>
      </c:valAx>
      <c:valAx>
        <c:axId val="90809088"/>
        <c:scaling>
          <c:orientation val="minMax"/>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crossAx val="165329536"/>
        <c:crosses val="autoZero"/>
        <c:crossBetween val="midCat"/>
      </c:valAx>
    </c:plotArea>
    <c:legend>
      <c:legendPos val="t"/>
      <c:overlay val="0"/>
      <c:txPr>
        <a:bodyPr/>
        <a:lstStyle/>
        <a:p>
          <a:pPr>
            <a:defRPr b="1"/>
          </a:pPr>
          <a:endParaRPr lang="it-IT"/>
        </a:p>
      </c:txPr>
    </c:legend>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'25x'!$A$8</c:f>
              <c:strCache>
                <c:ptCount val="1"/>
                <c:pt idx="0">
                  <c:v>di cui trasporti (+ magazzinaggio)</c:v>
                </c:pt>
              </c:strCache>
            </c:strRef>
          </c:tx>
          <c:spPr>
            <a:ln w="28575">
              <a:noFill/>
            </a:ln>
          </c:spPr>
          <c:xVal>
            <c:numRef>
              <c:f>'25x'!$K$3:$X$3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xVal>
          <c:yVal>
            <c:numRef>
              <c:f>'25x'!$K$8:$X$8</c:f>
              <c:numCache>
                <c:formatCode>_(* #,##0.0_);_(* \(#,##0.0\);_(* "-"??_);_(@_)</c:formatCode>
                <c:ptCount val="14"/>
                <c:pt idx="0">
                  <c:v>9.9179999999999993</c:v>
                </c:pt>
                <c:pt idx="1">
                  <c:v>10.219299999999999</c:v>
                </c:pt>
                <c:pt idx="2">
                  <c:v>10.4039</c:v>
                </c:pt>
                <c:pt idx="3">
                  <c:v>10.8391</c:v>
                </c:pt>
                <c:pt idx="4">
                  <c:v>10.5349</c:v>
                </c:pt>
                <c:pt idx="5">
                  <c:v>10.665899999999999</c:v>
                </c:pt>
                <c:pt idx="6">
                  <c:v>10.7202</c:v>
                </c:pt>
                <c:pt idx="7">
                  <c:v>10.759</c:v>
                </c:pt>
                <c:pt idx="8">
                  <c:v>10.774299999999998</c:v>
                </c:pt>
                <c:pt idx="9">
                  <c:v>10.4621</c:v>
                </c:pt>
                <c:pt idx="10">
                  <c:v>10.855600000000001</c:v>
                </c:pt>
                <c:pt idx="11">
                  <c:v>11.1625</c:v>
                </c:pt>
                <c:pt idx="12">
                  <c:v>11.382899999999999</c:v>
                </c:pt>
                <c:pt idx="13">
                  <c:v>11.54</c:v>
                </c:pt>
              </c:numCache>
            </c:numRef>
          </c:yVal>
          <c:smooth val="0"/>
          <c:extLst>
            <c:ext xmlns:c16="http://schemas.microsoft.com/office/drawing/2014/chart" uri="{C3380CC4-5D6E-409C-BE32-E72D297353CC}">
              <c16:uniqueId val="{00000000-3F3A-435C-9F02-FC47D8776A50}"/>
            </c:ext>
          </c:extLst>
        </c:ser>
        <c:dLbls>
          <c:showLegendKey val="0"/>
          <c:showVal val="0"/>
          <c:showCatName val="0"/>
          <c:showSerName val="0"/>
          <c:showPercent val="0"/>
          <c:showBubbleSize val="0"/>
        </c:dLbls>
        <c:axId val="90820608"/>
        <c:axId val="90822144"/>
      </c:scatterChart>
      <c:valAx>
        <c:axId val="90820608"/>
        <c:scaling>
          <c:orientation val="minMax"/>
        </c:scaling>
        <c:delete val="0"/>
        <c:axPos val="b"/>
        <c:numFmt formatCode="General" sourceLinked="1"/>
        <c:majorTickMark val="out"/>
        <c:minorTickMark val="none"/>
        <c:tickLblPos val="nextTo"/>
        <c:crossAx val="90822144"/>
        <c:crosses val="autoZero"/>
        <c:crossBetween val="midCat"/>
      </c:valAx>
      <c:valAx>
        <c:axId val="90822144"/>
        <c:scaling>
          <c:orientation val="minMax"/>
          <c:min val="9"/>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crossAx val="90820608"/>
        <c:crosses val="autoZero"/>
        <c:crossBetween val="midCat"/>
      </c:valAx>
    </c:plotArea>
    <c:legend>
      <c:legendPos val="t"/>
      <c:overlay val="0"/>
      <c:txPr>
        <a:bodyPr/>
        <a:lstStyle/>
        <a:p>
          <a:pPr>
            <a:defRPr b="1"/>
          </a:pPr>
          <a:endParaRPr lang="it-IT"/>
        </a:p>
      </c:txPr>
    </c:legend>
    <c:plotVisOnly val="1"/>
    <c:dispBlanksAs val="gap"/>
    <c:showDLblsOverMax val="0"/>
  </c:chart>
  <c:spPr>
    <a:ln>
      <a:noFill/>
    </a:ln>
  </c:spPr>
  <c:printSettings>
    <c:headerFooter/>
    <c:pageMargins b="0.75000000000000477" l="0.70000000000000062" r="0.70000000000000062" t="0.750000000000004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'25x'!$A$9</c:f>
              <c:strCache>
                <c:ptCount val="1"/>
                <c:pt idx="0">
                  <c:v>Domestico</c:v>
                </c:pt>
              </c:strCache>
            </c:strRef>
          </c:tx>
          <c:spPr>
            <a:ln w="28575">
              <a:noFill/>
            </a:ln>
          </c:spPr>
          <c:xVal>
            <c:numRef>
              <c:f>'25x'!$K$3:$X$3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xVal>
          <c:yVal>
            <c:numRef>
              <c:f>'25x'!$K$9:$X$9</c:f>
              <c:numCache>
                <c:formatCode>_(* #,##0.0_);_(* \(#,##0.0\);_(* "-"??_);_(@_)</c:formatCode>
                <c:ptCount val="14"/>
                <c:pt idx="0">
                  <c:v>66.932500000000005</c:v>
                </c:pt>
                <c:pt idx="1">
                  <c:v>67.60260000000001</c:v>
                </c:pt>
                <c:pt idx="2">
                  <c:v>67.220399999999998</c:v>
                </c:pt>
                <c:pt idx="3">
                  <c:v>68.388899999999992</c:v>
                </c:pt>
                <c:pt idx="4">
                  <c:v>68.924399999999991</c:v>
                </c:pt>
                <c:pt idx="5">
                  <c:v>69.5505</c:v>
                </c:pt>
                <c:pt idx="6">
                  <c:v>70.1404</c:v>
                </c:pt>
                <c:pt idx="7">
                  <c:v>69.456600000000009</c:v>
                </c:pt>
                <c:pt idx="8">
                  <c:v>66.983199999999997</c:v>
                </c:pt>
                <c:pt idx="9">
                  <c:v>64.254999999999995</c:v>
                </c:pt>
                <c:pt idx="10">
                  <c:v>66.187300000000008</c:v>
                </c:pt>
                <c:pt idx="11">
                  <c:v>64.304199999999994</c:v>
                </c:pt>
                <c:pt idx="12">
                  <c:v>65.490700000000004</c:v>
                </c:pt>
                <c:pt idx="13">
                  <c:v>65.137799999999999</c:v>
                </c:pt>
              </c:numCache>
            </c:numRef>
          </c:yVal>
          <c:smooth val="0"/>
          <c:extLst>
            <c:ext xmlns:c16="http://schemas.microsoft.com/office/drawing/2014/chart" uri="{C3380CC4-5D6E-409C-BE32-E72D297353CC}">
              <c16:uniqueId val="{00000000-05FE-4A7D-BEF7-F236A4E92DD5}"/>
            </c:ext>
          </c:extLst>
        </c:ser>
        <c:dLbls>
          <c:showLegendKey val="0"/>
          <c:showVal val="0"/>
          <c:showCatName val="0"/>
          <c:showSerName val="0"/>
          <c:showPercent val="0"/>
          <c:showBubbleSize val="0"/>
        </c:dLbls>
        <c:axId val="92078848"/>
        <c:axId val="92080384"/>
      </c:scatterChart>
      <c:valAx>
        <c:axId val="92078848"/>
        <c:scaling>
          <c:orientation val="minMax"/>
        </c:scaling>
        <c:delete val="0"/>
        <c:axPos val="b"/>
        <c:numFmt formatCode="General" sourceLinked="1"/>
        <c:majorTickMark val="out"/>
        <c:minorTickMark val="none"/>
        <c:tickLblPos val="nextTo"/>
        <c:crossAx val="92080384"/>
        <c:crosses val="autoZero"/>
        <c:crossBetween val="midCat"/>
      </c:valAx>
      <c:valAx>
        <c:axId val="92080384"/>
        <c:scaling>
          <c:orientation val="minMax"/>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crossAx val="92078848"/>
        <c:crosses val="autoZero"/>
        <c:crossBetween val="midCat"/>
      </c:valAx>
    </c:plotArea>
    <c:legend>
      <c:legendPos val="t"/>
      <c:overlay val="0"/>
      <c:txPr>
        <a:bodyPr/>
        <a:lstStyle/>
        <a:p>
          <a:pPr>
            <a:defRPr b="1"/>
          </a:pPr>
          <a:endParaRPr lang="it-IT"/>
        </a:p>
      </c:txPr>
    </c:legend>
    <c:plotVisOnly val="1"/>
    <c:dispBlanksAs val="gap"/>
    <c:showDLblsOverMax val="0"/>
  </c:chart>
  <c:spPr>
    <a:ln>
      <a:noFill/>
    </a:ln>
  </c:spPr>
  <c:printSettings>
    <c:headerFooter/>
    <c:pageMargins b="0.75000000000000477" l="0.70000000000000062" r="0.70000000000000062" t="0.750000000000004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'25x'!$A$5</c:f>
              <c:strCache>
                <c:ptCount val="1"/>
                <c:pt idx="0">
                  <c:v>Agricoltura e Pesca</c:v>
                </c:pt>
              </c:strCache>
            </c:strRef>
          </c:tx>
          <c:spPr>
            <a:ln w="28575">
              <a:noFill/>
            </a:ln>
          </c:spPr>
          <c:xVal>
            <c:numRef>
              <c:f>'25x'!$K$3:$X$3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xVal>
          <c:yVal>
            <c:numRef>
              <c:f>'25x'!$K$5:$X$5</c:f>
              <c:numCache>
                <c:formatCode>_(* #,##0.0_);_(* \(#,##0.0\);_(* "-"??_);_(@_)</c:formatCode>
                <c:ptCount val="14"/>
                <c:pt idx="0">
                  <c:v>5.3643999999999998</c:v>
                </c:pt>
                <c:pt idx="1">
                  <c:v>5.5034999999999998</c:v>
                </c:pt>
                <c:pt idx="2">
                  <c:v>5.6592000000000002</c:v>
                </c:pt>
                <c:pt idx="3">
                  <c:v>5.6695000000000002</c:v>
                </c:pt>
                <c:pt idx="4">
                  <c:v>5.6498999999999997</c:v>
                </c:pt>
                <c:pt idx="5">
                  <c:v>5.6103000000000005</c:v>
                </c:pt>
                <c:pt idx="6">
                  <c:v>5.907</c:v>
                </c:pt>
                <c:pt idx="7">
                  <c:v>5.9236000000000004</c:v>
                </c:pt>
                <c:pt idx="8">
                  <c:v>5.6771000000000003</c:v>
                </c:pt>
                <c:pt idx="9">
                  <c:v>5.3721000000000005</c:v>
                </c:pt>
                <c:pt idx="10">
                  <c:v>5.6898999999999997</c:v>
                </c:pt>
                <c:pt idx="11">
                  <c:v>5.5674999999999999</c:v>
                </c:pt>
                <c:pt idx="12">
                  <c:v>5.9904000000000002</c:v>
                </c:pt>
                <c:pt idx="13">
                  <c:v>5.8433000000000002</c:v>
                </c:pt>
              </c:numCache>
            </c:numRef>
          </c:yVal>
          <c:smooth val="0"/>
          <c:extLst>
            <c:ext xmlns:c16="http://schemas.microsoft.com/office/drawing/2014/chart" uri="{C3380CC4-5D6E-409C-BE32-E72D297353CC}">
              <c16:uniqueId val="{00000000-4C0F-4DC0-8DD0-E5ACD5DDA6CB}"/>
            </c:ext>
          </c:extLst>
        </c:ser>
        <c:dLbls>
          <c:showLegendKey val="0"/>
          <c:showVal val="0"/>
          <c:showCatName val="0"/>
          <c:showSerName val="0"/>
          <c:showPercent val="0"/>
          <c:showBubbleSize val="0"/>
        </c:dLbls>
        <c:axId val="92116480"/>
        <c:axId val="92118016"/>
      </c:scatterChart>
      <c:valAx>
        <c:axId val="92116480"/>
        <c:scaling>
          <c:orientation val="minMax"/>
        </c:scaling>
        <c:delete val="0"/>
        <c:axPos val="b"/>
        <c:numFmt formatCode="General" sourceLinked="1"/>
        <c:majorTickMark val="out"/>
        <c:minorTickMark val="none"/>
        <c:tickLblPos val="nextTo"/>
        <c:crossAx val="92118016"/>
        <c:crosses val="autoZero"/>
        <c:crossBetween val="midCat"/>
      </c:valAx>
      <c:valAx>
        <c:axId val="92118016"/>
        <c:scaling>
          <c:orientation val="minMax"/>
          <c:max val="6"/>
          <c:min val="5"/>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crossAx val="92116480"/>
        <c:crosses val="autoZero"/>
        <c:crossBetween val="midCat"/>
      </c:valAx>
    </c:plotArea>
    <c:legend>
      <c:legendPos val="t"/>
      <c:overlay val="0"/>
      <c:txPr>
        <a:bodyPr/>
        <a:lstStyle/>
        <a:p>
          <a:pPr>
            <a:defRPr b="1"/>
          </a:pPr>
          <a:endParaRPr lang="it-IT"/>
        </a:p>
      </c:txPr>
    </c:legend>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'25x'!$A$6</c:f>
              <c:strCache>
                <c:ptCount val="1"/>
                <c:pt idx="0">
                  <c:v>Industria</c:v>
                </c:pt>
              </c:strCache>
            </c:strRef>
          </c:tx>
          <c:spPr>
            <a:ln w="28575">
              <a:noFill/>
            </a:ln>
          </c:spPr>
          <c:xVal>
            <c:numRef>
              <c:f>'25x'!$K$3:$X$3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xVal>
          <c:yVal>
            <c:numRef>
              <c:f>'25x'!$K$6:$X$6</c:f>
              <c:numCache>
                <c:formatCode>_(* #,##0.0_);_(* \(#,##0.0\);_(* "-"??_);_(@_)</c:formatCode>
                <c:ptCount val="14"/>
                <c:pt idx="0">
                  <c:v>153.7268</c:v>
                </c:pt>
                <c:pt idx="1">
                  <c:v>156.1506</c:v>
                </c:pt>
                <c:pt idx="2">
                  <c:v>155.80429999999998</c:v>
                </c:pt>
                <c:pt idx="3">
                  <c:v>151.36660000000001</c:v>
                </c:pt>
                <c:pt idx="4">
                  <c:v>130.5059</c:v>
                </c:pt>
                <c:pt idx="5">
                  <c:v>138.43929999999997</c:v>
                </c:pt>
                <c:pt idx="6">
                  <c:v>140.03960000000001</c:v>
                </c:pt>
                <c:pt idx="7">
                  <c:v>130.80089999999998</c:v>
                </c:pt>
                <c:pt idx="8">
                  <c:v>124.8708</c:v>
                </c:pt>
                <c:pt idx="9">
                  <c:v>122.505</c:v>
                </c:pt>
                <c:pt idx="10">
                  <c:v>122.3623</c:v>
                </c:pt>
                <c:pt idx="11">
                  <c:v>122.738</c:v>
                </c:pt>
                <c:pt idx="12">
                  <c:v>125.52460000000001</c:v>
                </c:pt>
                <c:pt idx="13">
                  <c:v>126.432</c:v>
                </c:pt>
              </c:numCache>
            </c:numRef>
          </c:yVal>
          <c:smooth val="0"/>
          <c:extLst>
            <c:ext xmlns:c16="http://schemas.microsoft.com/office/drawing/2014/chart" uri="{C3380CC4-5D6E-409C-BE32-E72D297353CC}">
              <c16:uniqueId val="{00000000-AB82-44B4-B972-5883D443FEAE}"/>
            </c:ext>
          </c:extLst>
        </c:ser>
        <c:dLbls>
          <c:showLegendKey val="0"/>
          <c:showVal val="0"/>
          <c:showCatName val="0"/>
          <c:showSerName val="0"/>
          <c:showPercent val="0"/>
          <c:showBubbleSize val="0"/>
        </c:dLbls>
        <c:axId val="92125440"/>
        <c:axId val="127553536"/>
      </c:scatterChart>
      <c:valAx>
        <c:axId val="92125440"/>
        <c:scaling>
          <c:orientation val="minMax"/>
        </c:scaling>
        <c:delete val="0"/>
        <c:axPos val="b"/>
        <c:numFmt formatCode="General" sourceLinked="1"/>
        <c:majorTickMark val="out"/>
        <c:minorTickMark val="none"/>
        <c:tickLblPos val="nextTo"/>
        <c:crossAx val="127553536"/>
        <c:crosses val="autoZero"/>
        <c:crossBetween val="midCat"/>
      </c:valAx>
      <c:valAx>
        <c:axId val="127553536"/>
        <c:scaling>
          <c:orientation val="minMax"/>
          <c:min val="120"/>
        </c:scaling>
        <c:delete val="0"/>
        <c:axPos val="l"/>
        <c:majorGridlines>
          <c:spPr>
            <a:ln>
              <a:solidFill>
                <a:schemeClr val="bg1">
                  <a:lumMod val="85000"/>
                </a:schemeClr>
              </a:solidFill>
              <a:prstDash val="dash"/>
            </a:ln>
          </c:spPr>
        </c:majorGridlines>
        <c:numFmt formatCode="General" sourceLinked="0"/>
        <c:majorTickMark val="out"/>
        <c:minorTickMark val="none"/>
        <c:tickLblPos val="nextTo"/>
        <c:crossAx val="92125440"/>
        <c:crosses val="autoZero"/>
        <c:crossBetween val="midCat"/>
      </c:valAx>
    </c:plotArea>
    <c:legend>
      <c:legendPos val="t"/>
      <c:overlay val="0"/>
      <c:txPr>
        <a:bodyPr/>
        <a:lstStyle/>
        <a:p>
          <a:pPr>
            <a:defRPr b="1"/>
          </a:pPr>
          <a:endParaRPr lang="it-IT"/>
        </a:p>
      </c:txPr>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2819544800021"/>
          <c:y val="5.13585977626181E-2"/>
          <c:w val="0.81931653168663232"/>
          <c:h val="0.76103620511240266"/>
        </c:manualLayout>
      </c:layout>
      <c:lineChart>
        <c:grouping val="standard"/>
        <c:varyColors val="0"/>
        <c:ser>
          <c:idx val="0"/>
          <c:order val="0"/>
          <c:tx>
            <c:v>Termoelettrica tradizionale</c:v>
          </c:tx>
          <c:spPr>
            <a:ln>
              <a:solidFill>
                <a:schemeClr val="tx1">
                  <a:lumMod val="65000"/>
                  <a:lumOff val="3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0.82314404432132959</c:v>
              </c:pt>
              <c:pt idx="1">
                <c:v>0.78001411076272509</c:v>
              </c:pt>
              <c:pt idx="2">
                <c:v>0.78229777153111102</c:v>
              </c:pt>
              <c:pt idx="3">
                <c:v>0.78382599797129293</c:v>
              </c:pt>
              <c:pt idx="4">
                <c:v>0.77927999630736366</c:v>
              </c:pt>
              <c:pt idx="5">
                <c:v>0.81214700670798545</c:v>
              </c:pt>
              <c:pt idx="6">
                <c:v>0.79184492027834352</c:v>
              </c:pt>
              <c:pt idx="7">
                <c:v>0.79883548640830826</c:v>
              </c:pt>
              <c:pt idx="8">
                <c:v>0.80053426945964867</c:v>
              </c:pt>
              <c:pt idx="9">
                <c:v>0.78697443943217471</c:v>
              </c:pt>
              <c:pt idx="10">
                <c:v>0.79689910039064893</c:v>
              </c:pt>
              <c:pt idx="11">
                <c:v>0.78628042289735878</c:v>
              </c:pt>
              <c:pt idx="12">
                <c:v>0.81298934929163535</c:v>
              </c:pt>
              <c:pt idx="13">
                <c:v>0.82612555502359941</c:v>
              </c:pt>
              <c:pt idx="14">
                <c:v>0.81136990428820743</c:v>
              </c:pt>
              <c:pt idx="15">
                <c:v>0.83330276567602213</c:v>
              </c:pt>
              <c:pt idx="16">
                <c:v>0.83459181103956426</c:v>
              </c:pt>
              <c:pt idx="17">
                <c:v>0.84668502566840764</c:v>
              </c:pt>
              <c:pt idx="18">
                <c:v>0.81887734638215959</c:v>
              </c:pt>
              <c:pt idx="19">
                <c:v>0.77445628216807805</c:v>
              </c:pt>
              <c:pt idx="20">
                <c:v>0.76556382052325145</c:v>
              </c:pt>
              <c:pt idx="21">
                <c:v>0.7552285431782344</c:v>
              </c:pt>
              <c:pt idx="22">
                <c:v>0.72695991194755893</c:v>
              </c:pt>
              <c:pt idx="23">
                <c:v>0.6659251307522086</c:v>
              </c:pt>
              <c:pt idx="24">
                <c:v>0.62956771333268058</c:v>
              </c:pt>
              <c:pt idx="25">
                <c:v>0.67864855037511407</c:v>
              </c:pt>
              <c:pt idx="26">
                <c:v>0.68823839192844483</c:v>
              </c:pt>
              <c:pt idx="27">
                <c:v>0.70812459185030152</c:v>
              </c:pt>
              <c:pt idx="28">
                <c:v>0.6652550633440989</c:v>
              </c:pt>
              <c:pt idx="29">
                <c:v>0.66609414403240674</c:v>
              </c:pt>
              <c:pt idx="30">
                <c:v>0.6462978302722705</c:v>
              </c:pt>
              <c:pt idx="31">
                <c:v>0.65628197399362487</c:v>
              </c:pt>
              <c:pt idx="32">
                <c:v>0.70156720904968339</c:v>
              </c:pt>
              <c:pt idx="33">
                <c:v>0.6142148580985185</c:v>
              </c:pt>
              <c:pt idx="34">
                <c:v>0.56149116512944242</c:v>
              </c:pt>
            </c:numLit>
          </c:val>
          <c:smooth val="1"/>
          <c:extLst>
            <c:ext xmlns:c16="http://schemas.microsoft.com/office/drawing/2014/chart" uri="{C3380CC4-5D6E-409C-BE32-E72D297353CC}">
              <c16:uniqueId val="{00000000-A408-4A32-B242-90ED50A8E083}"/>
            </c:ext>
          </c:extLst>
        </c:ser>
        <c:dLbls>
          <c:showLegendKey val="0"/>
          <c:showVal val="0"/>
          <c:showCatName val="0"/>
          <c:showSerName val="0"/>
          <c:showPercent val="0"/>
          <c:showBubbleSize val="0"/>
        </c:dLbls>
        <c:smooth val="0"/>
        <c:axId val="166866304"/>
        <c:axId val="166876288"/>
      </c:lineChart>
      <c:dateAx>
        <c:axId val="166866304"/>
        <c:scaling>
          <c:orientation val="minMax"/>
        </c:scaling>
        <c:delete val="0"/>
        <c:axPos val="b"/>
        <c:numFmt formatCode="General" sourceLinked="1"/>
        <c:majorTickMark val="out"/>
        <c:minorTickMark val="none"/>
        <c:tickLblPos val="nextTo"/>
        <c:txPr>
          <a:bodyPr rot="-5400000" vert="horz" anchor="ctr" anchorCtr="1"/>
          <a:lstStyle/>
          <a:p>
            <a:pPr>
              <a:defRPr sz="1000" b="1" i="0" u="none" strike="noStrike" baseline="0">
                <a:solidFill>
                  <a:srgbClr val="000000"/>
                </a:solidFill>
                <a:latin typeface="Calibri"/>
                <a:ea typeface="Calibri"/>
                <a:cs typeface="Calibri"/>
              </a:defRPr>
            </a:pPr>
            <a:endParaRPr lang="it-IT"/>
          </a:p>
        </c:txPr>
        <c:crossAx val="166876288"/>
        <c:crosses val="autoZero"/>
        <c:auto val="0"/>
        <c:lblOffset val="100"/>
        <c:baseTimeUnit val="days"/>
        <c:majorUnit val="1"/>
        <c:majorTimeUnit val="days"/>
      </c:dateAx>
      <c:valAx>
        <c:axId val="166876288"/>
        <c:scaling>
          <c:orientation val="minMax"/>
          <c:max val="1"/>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866304"/>
        <c:crosses val="autoZero"/>
        <c:crossBetween val="between"/>
        <c:majorUnit val="0.1"/>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0833333333333689E-3"/>
          <c:y val="4.6296296296297014E-3"/>
        </c:manualLayout>
      </c:layout>
      <c:overlay val="0"/>
      <c:txPr>
        <a:bodyPr/>
        <a:lstStyle/>
        <a:p>
          <a:pPr>
            <a:defRPr sz="1400"/>
          </a:pPr>
          <a:endParaRPr lang="it-IT"/>
        </a:p>
      </c:txPr>
    </c:title>
    <c:autoTitleDeleted val="0"/>
    <c:plotArea>
      <c:layout>
        <c:manualLayout>
          <c:layoutTarget val="inner"/>
          <c:xMode val="edge"/>
          <c:yMode val="edge"/>
          <c:x val="0.13968408830820103"/>
          <c:y val="0"/>
          <c:w val="0.78497483192096551"/>
          <c:h val="1"/>
        </c:manualLayout>
      </c:layout>
      <c:pieChart>
        <c:varyColors val="1"/>
        <c:ser>
          <c:idx val="0"/>
          <c:order val="0"/>
          <c:tx>
            <c:strRef>
              <c:f>'25x'!$AG$53</c:f>
              <c:strCache>
                <c:ptCount val="1"/>
                <c:pt idx="0">
                  <c:v>2005</c:v>
                </c:pt>
              </c:strCache>
            </c:strRef>
          </c:tx>
          <c:dPt>
            <c:idx val="3"/>
            <c:bubble3D val="0"/>
            <c:spPr>
              <a:solidFill>
                <a:schemeClr val="accent6"/>
              </a:solidFill>
            </c:spPr>
            <c:extLst>
              <c:ext xmlns:c16="http://schemas.microsoft.com/office/drawing/2014/chart" uri="{C3380CC4-5D6E-409C-BE32-E72D297353CC}">
                <c16:uniqueId val="{00000000-8884-42AD-B742-B6F84106BFE8}"/>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84-42AD-B742-B6F84106BFE8}"/>
                </c:ext>
              </c:extLst>
            </c:dLbl>
            <c:dLbl>
              <c:idx val="1"/>
              <c:layout>
                <c:manualLayout>
                  <c:x val="-0.1912134720562795"/>
                  <c:y val="2.884361798539418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84-42AD-B742-B6F84106BFE8}"/>
                </c:ext>
              </c:extLst>
            </c:dLbl>
            <c:dLbl>
              <c:idx val="2"/>
              <c:layout>
                <c:manualLayout>
                  <c:x val="0.16762406001297478"/>
                  <c:y val="-0.1453891064652720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84-42AD-B742-B6F84106BFE8}"/>
                </c:ext>
              </c:extLst>
            </c:dLbl>
            <c:dLbl>
              <c:idx val="3"/>
              <c:layout>
                <c:manualLayout>
                  <c:x val="0.12419944639654025"/>
                  <c:y val="9.9833303728804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884-42AD-B742-B6F84106BFE8}"/>
                </c:ext>
              </c:extLst>
            </c:dLbl>
            <c:dLbl>
              <c:idx val="4"/>
              <c:layout>
                <c:manualLayout>
                  <c:x val="0.11474668026189869"/>
                  <c:y val="0.1438747620440476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84-42AD-B742-B6F84106BFE8}"/>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'25x'!$AF$54:$AF$58</c:f>
              <c:strCache>
                <c:ptCount val="5"/>
                <c:pt idx="0">
                  <c:v>Agricoltura e Pesca</c:v>
                </c:pt>
                <c:pt idx="1">
                  <c:v>Industria</c:v>
                </c:pt>
                <c:pt idx="2">
                  <c:v>Servizi</c:v>
                </c:pt>
                <c:pt idx="3">
                  <c:v>Trasporti</c:v>
                </c:pt>
                <c:pt idx="4">
                  <c:v>Residenziale</c:v>
                </c:pt>
              </c:strCache>
            </c:strRef>
          </c:cat>
          <c:val>
            <c:numRef>
              <c:f>'25x'!$AG$54:$AG$58</c:f>
              <c:numCache>
                <c:formatCode>0.0</c:formatCode>
                <c:ptCount val="5"/>
                <c:pt idx="0">
                  <c:v>2.5155826417795613</c:v>
                </c:pt>
                <c:pt idx="1">
                  <c:v>72.088671548787971</c:v>
                </c:pt>
                <c:pt idx="2">
                  <c:v>34.642954973802304</c:v>
                </c:pt>
                <c:pt idx="3">
                  <c:v>4.6509485946554481</c:v>
                </c:pt>
                <c:pt idx="4">
                  <c:v>31.387337851560375</c:v>
                </c:pt>
              </c:numCache>
            </c:numRef>
          </c:val>
          <c:extLst>
            <c:ext xmlns:c16="http://schemas.microsoft.com/office/drawing/2014/chart" uri="{C3380CC4-5D6E-409C-BE32-E72D297353CC}">
              <c16:uniqueId val="{00000005-8884-42AD-B742-B6F84106BFE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42533716770066"/>
          <c:y val="1.2577370298003743E-3"/>
        </c:manualLayout>
      </c:layout>
      <c:overlay val="0"/>
      <c:txPr>
        <a:bodyPr/>
        <a:lstStyle/>
        <a:p>
          <a:pPr>
            <a:defRPr sz="1400"/>
          </a:pPr>
          <a:endParaRPr lang="it-IT"/>
        </a:p>
      </c:txPr>
    </c:title>
    <c:autoTitleDeleted val="0"/>
    <c:plotArea>
      <c:layout>
        <c:manualLayout>
          <c:layoutTarget val="inner"/>
          <c:xMode val="edge"/>
          <c:yMode val="edge"/>
          <c:x val="0.24173612759709356"/>
          <c:y val="0"/>
          <c:w val="0.78497483192096551"/>
          <c:h val="1"/>
        </c:manualLayout>
      </c:layout>
      <c:pieChart>
        <c:varyColors val="1"/>
        <c:ser>
          <c:idx val="0"/>
          <c:order val="0"/>
          <c:tx>
            <c:strRef>
              <c:f>'25x'!$AN$53</c:f>
              <c:strCache>
                <c:ptCount val="1"/>
                <c:pt idx="0">
                  <c:v>2020</c:v>
                </c:pt>
              </c:strCache>
            </c:strRef>
          </c:tx>
          <c:dPt>
            <c:idx val="3"/>
            <c:bubble3D val="0"/>
            <c:spPr>
              <a:solidFill>
                <a:schemeClr val="accent6"/>
              </a:solidFill>
            </c:spPr>
            <c:extLst>
              <c:ext xmlns:c16="http://schemas.microsoft.com/office/drawing/2014/chart" uri="{C3380CC4-5D6E-409C-BE32-E72D297353CC}">
                <c16:uniqueId val="{00000000-36DC-4F0B-B475-D740C85B1A40}"/>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DC-4F0B-B475-D740C85B1A40}"/>
                </c:ext>
              </c:extLst>
            </c:dLbl>
            <c:dLbl>
              <c:idx val="1"/>
              <c:layout>
                <c:manualLayout>
                  <c:x val="-0.10782860301208277"/>
                  <c:y val="0.1506387192264802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6DC-4F0B-B475-D740C85B1A40}"/>
                </c:ext>
              </c:extLst>
            </c:dLbl>
            <c:dLbl>
              <c:idx val="2"/>
              <c:layout>
                <c:manualLayout>
                  <c:x val="0.16762406001297478"/>
                  <c:y val="-0.14538910646527209"/>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DC-4F0B-B475-D740C85B1A40}"/>
                </c:ext>
              </c:extLst>
            </c:dLbl>
            <c:dLbl>
              <c:idx val="3"/>
              <c:layout>
                <c:manualLayout>
                  <c:x val="0.12275138148573923"/>
                  <c:y val="7.4257267911878701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6DC-4F0B-B475-D740C85B1A40}"/>
                </c:ext>
              </c:extLst>
            </c:dLbl>
            <c:dLbl>
              <c:idx val="4"/>
              <c:layout>
                <c:manualLayout>
                  <c:x val="0.11912275249327661"/>
                  <c:y val="0.1627251652160447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6DC-4F0B-B475-D740C85B1A40}"/>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'25x'!$AF$54:$AF$58</c:f>
              <c:strCache>
                <c:ptCount val="5"/>
                <c:pt idx="0">
                  <c:v>Agricoltura e Pesca</c:v>
                </c:pt>
                <c:pt idx="1">
                  <c:v>Industria</c:v>
                </c:pt>
                <c:pt idx="2">
                  <c:v>Servizi</c:v>
                </c:pt>
                <c:pt idx="3">
                  <c:v>Trasporti</c:v>
                </c:pt>
                <c:pt idx="4">
                  <c:v>Residenziale</c:v>
                </c:pt>
              </c:strCache>
            </c:strRef>
          </c:cat>
          <c:val>
            <c:numRef>
              <c:f>'25x'!$AN$54:$AN$58</c:f>
              <c:numCache>
                <c:formatCode>0.0</c:formatCode>
                <c:ptCount val="5"/>
                <c:pt idx="0">
                  <c:v>1.6453486540067954</c:v>
                </c:pt>
                <c:pt idx="1">
                  <c:v>32.700343049504362</c:v>
                </c:pt>
                <c:pt idx="2">
                  <c:v>19.734823572876909</c:v>
                </c:pt>
                <c:pt idx="3">
                  <c:v>2.6554761804077347</c:v>
                </c:pt>
                <c:pt idx="4">
                  <c:v>17.263476260143623</c:v>
                </c:pt>
              </c:numCache>
            </c:numRef>
          </c:val>
          <c:extLst>
            <c:ext xmlns:c16="http://schemas.microsoft.com/office/drawing/2014/chart" uri="{C3380CC4-5D6E-409C-BE32-E72D297353CC}">
              <c16:uniqueId val="{00000005-36DC-4F0B-B475-D740C85B1A4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711" l="0.70000000000000062" r="0.70000000000000062" t="0.7500000000000071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1"/>
            <c:dispEq val="1"/>
            <c:trendlineLbl>
              <c:layout>
                <c:manualLayout>
                  <c:x val="-5.4124357667407119E-3"/>
                  <c:y val="0.2411248397006356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cat>
            <c:numRef>
              <c:f>'25x'!$T$67:$AA$67</c:f>
              <c:numCache>
                <c:formatCode>General</c:formatCode>
                <c:ptCount val="8"/>
                <c:pt idx="0">
                  <c:v>2014</c:v>
                </c:pt>
                <c:pt idx="1">
                  <c:v>2015</c:v>
                </c:pt>
                <c:pt idx="2">
                  <c:v>2016</c:v>
                </c:pt>
                <c:pt idx="3">
                  <c:v>2017</c:v>
                </c:pt>
                <c:pt idx="4">
                  <c:v>2018</c:v>
                </c:pt>
                <c:pt idx="5">
                  <c:v>2019</c:v>
                </c:pt>
                <c:pt idx="6">
                  <c:v>2020</c:v>
                </c:pt>
                <c:pt idx="7">
                  <c:v>2021</c:v>
                </c:pt>
              </c:numCache>
            </c:numRef>
          </c:cat>
          <c:val>
            <c:numRef>
              <c:f>'25x'!$T$84:$AA$84</c:f>
              <c:numCache>
                <c:formatCode>0.0%</c:formatCode>
                <c:ptCount val="8"/>
                <c:pt idx="0">
                  <c:v>0.42578510740742836</c:v>
                </c:pt>
                <c:pt idx="1">
                  <c:v>0.42333346044492282</c:v>
                </c:pt>
                <c:pt idx="2">
                  <c:v>0.42064609233713274</c:v>
                </c:pt>
                <c:pt idx="3">
                  <c:v>0.433012979023852</c:v>
                </c:pt>
                <c:pt idx="4">
                  <c:v>0.44077438930942114</c:v>
                </c:pt>
                <c:pt idx="5">
                  <c:v>0.44474596283819751</c:v>
                </c:pt>
                <c:pt idx="6">
                  <c:v>0.45194741779122405</c:v>
                </c:pt>
                <c:pt idx="7">
                  <c:v>0.44147172805609503</c:v>
                </c:pt>
              </c:numCache>
            </c:numRef>
          </c:val>
          <c:smooth val="0"/>
          <c:extLst>
            <c:ext xmlns:c16="http://schemas.microsoft.com/office/drawing/2014/chart" uri="{C3380CC4-5D6E-409C-BE32-E72D297353CC}">
              <c16:uniqueId val="{00000000-3444-46F5-982F-D04D774D2AE9}"/>
            </c:ext>
          </c:extLst>
        </c:ser>
        <c:dLbls>
          <c:showLegendKey val="0"/>
          <c:showVal val="0"/>
          <c:showCatName val="0"/>
          <c:showSerName val="0"/>
          <c:showPercent val="0"/>
          <c:showBubbleSize val="0"/>
        </c:dLbls>
        <c:smooth val="0"/>
        <c:axId val="1912128864"/>
        <c:axId val="1926397360"/>
      </c:lineChart>
      <c:catAx>
        <c:axId val="191212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926397360"/>
        <c:crosses val="autoZero"/>
        <c:auto val="1"/>
        <c:lblAlgn val="ctr"/>
        <c:lblOffset val="100"/>
        <c:noMultiLvlLbl val="0"/>
      </c:catAx>
      <c:valAx>
        <c:axId val="1926397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912128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solidFill>
                <a:srgbClr val="92D050"/>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0.30277956081400614"/>
                  <c:y val="-0.198475198172314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it-IT"/>
                </a:p>
              </c:txPr>
            </c:trendlineLbl>
          </c:trendline>
          <c:xVal>
            <c:numRef>
              <c:f>'25x'!$P$67:$AB$67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xVal>
          <c:yVal>
            <c:numRef>
              <c:f>'25x'!$P$86:$AB$86</c:f>
              <c:numCache>
                <c:formatCode>0.0%</c:formatCode>
                <c:ptCount val="13"/>
                <c:pt idx="0">
                  <c:v>0.24921778584023965</c:v>
                </c:pt>
                <c:pt idx="1">
                  <c:v>0.27378830638498647</c:v>
                </c:pt>
                <c:pt idx="2">
                  <c:v>0.26743770458034694</c:v>
                </c:pt>
                <c:pt idx="3">
                  <c:v>0.26224649031152114</c:v>
                </c:pt>
                <c:pt idx="4">
                  <c:v>0.28865380222040515</c:v>
                </c:pt>
                <c:pt idx="5">
                  <c:v>0.27708501256738299</c:v>
                </c:pt>
                <c:pt idx="6">
                  <c:v>0.27434243577207845</c:v>
                </c:pt>
                <c:pt idx="7">
                  <c:v>0.26191118442800082</c:v>
                </c:pt>
                <c:pt idx="8">
                  <c:v>0.26321903878136099</c:v>
                </c:pt>
                <c:pt idx="9">
                  <c:v>0.26477146728328049</c:v>
                </c:pt>
                <c:pt idx="10">
                  <c:v>0.2537646425051801</c:v>
                </c:pt>
                <c:pt idx="11">
                  <c:v>0.2479137450164963</c:v>
                </c:pt>
                <c:pt idx="12">
                  <c:v>0.26809678956929911</c:v>
                </c:pt>
              </c:numCache>
            </c:numRef>
          </c:yVal>
          <c:smooth val="0"/>
          <c:extLst>
            <c:ext xmlns:c16="http://schemas.microsoft.com/office/drawing/2014/chart" uri="{C3380CC4-5D6E-409C-BE32-E72D297353CC}">
              <c16:uniqueId val="{00000000-D11A-4291-B8D6-1A820D14AB7A}"/>
            </c:ext>
          </c:extLst>
        </c:ser>
        <c:dLbls>
          <c:showLegendKey val="0"/>
          <c:showVal val="0"/>
          <c:showCatName val="0"/>
          <c:showSerName val="0"/>
          <c:showPercent val="0"/>
          <c:showBubbleSize val="0"/>
        </c:dLbls>
        <c:axId val="2006383808"/>
        <c:axId val="2006121984"/>
      </c:scatterChart>
      <c:valAx>
        <c:axId val="2006383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006121984"/>
        <c:crosses val="autoZero"/>
        <c:crossBetween val="midCat"/>
      </c:valAx>
      <c:valAx>
        <c:axId val="2006121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006383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spPr>
            <a:ln w="19050" cap="rnd">
              <a:solidFill>
                <a:schemeClr val="accent2"/>
              </a:solidFill>
              <a:round/>
            </a:ln>
            <a:effectLst/>
          </c:spPr>
          <c:marker>
            <c:symbol val="none"/>
          </c:marker>
          <c:cat>
            <c:numRef>
              <c:f>'25x'!$F$3:$AA$3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'25x'!$F$118:$AA$118</c:f>
              <c:numCache>
                <c:formatCode>0</c:formatCode>
                <c:ptCount val="22"/>
                <c:pt idx="0">
                  <c:v>10.449</c:v>
                </c:pt>
                <c:pt idx="1">
                  <c:v>10.795999999999999</c:v>
                </c:pt>
                <c:pt idx="2">
                  <c:v>10.497999999999999</c:v>
                </c:pt>
                <c:pt idx="3">
                  <c:v>10.647</c:v>
                </c:pt>
                <c:pt idx="4">
                  <c:v>9.9649999999999999</c:v>
                </c:pt>
                <c:pt idx="5">
                  <c:v>10.35</c:v>
                </c:pt>
                <c:pt idx="6">
                  <c:v>11.513</c:v>
                </c:pt>
                <c:pt idx="7">
                  <c:v>11.407999999999999</c:v>
                </c:pt>
                <c:pt idx="8">
                  <c:v>10.762</c:v>
                </c:pt>
                <c:pt idx="9">
                  <c:v>9.8680000000000003</c:v>
                </c:pt>
                <c:pt idx="10">
                  <c:v>11.496</c:v>
                </c:pt>
                <c:pt idx="11">
                  <c:v>10.486000000000001</c:v>
                </c:pt>
                <c:pt idx="12">
                  <c:v>11.17</c:v>
                </c:pt>
                <c:pt idx="13">
                  <c:v>12.278</c:v>
                </c:pt>
                <c:pt idx="14">
                  <c:v>12.222</c:v>
                </c:pt>
                <c:pt idx="15">
                  <c:v>12.627000000000001</c:v>
                </c:pt>
                <c:pt idx="16">
                  <c:v>13.423999999999999</c:v>
                </c:pt>
                <c:pt idx="17">
                  <c:v>14.776</c:v>
                </c:pt>
                <c:pt idx="18">
                  <c:v>13.855</c:v>
                </c:pt>
                <c:pt idx="19">
                  <c:v>14.593999999999999</c:v>
                </c:pt>
                <c:pt idx="20">
                  <c:v>14.185</c:v>
                </c:pt>
                <c:pt idx="21">
                  <c:v>14.752000000000001</c:v>
                </c:pt>
              </c:numCache>
            </c:numRef>
          </c:val>
          <c:smooth val="0"/>
          <c:extLst>
            <c:ext xmlns:c16="http://schemas.microsoft.com/office/drawing/2014/chart" uri="{C3380CC4-5D6E-409C-BE32-E72D297353CC}">
              <c16:uniqueId val="{00000001-6F19-439E-9F5F-E7E80E560AF7}"/>
            </c:ext>
          </c:extLst>
        </c:ser>
        <c:dLbls>
          <c:showLegendKey val="0"/>
          <c:showVal val="0"/>
          <c:showCatName val="0"/>
          <c:showSerName val="0"/>
          <c:showPercent val="0"/>
          <c:showBubbleSize val="0"/>
        </c:dLbls>
        <c:marker val="1"/>
        <c:smooth val="0"/>
        <c:axId val="1108002431"/>
        <c:axId val="969411711"/>
      </c:lineChart>
      <c:lineChart>
        <c:grouping val="standard"/>
        <c:varyColors val="0"/>
        <c:ser>
          <c:idx val="0"/>
          <c:order val="0"/>
          <c:spPr>
            <a:ln w="19050" cap="rnd">
              <a:solidFill>
                <a:schemeClr val="accent1"/>
              </a:solidFill>
              <a:round/>
            </a:ln>
            <a:effectLst/>
          </c:spPr>
          <c:marker>
            <c:symbol val="none"/>
          </c:marker>
          <c:val>
            <c:numRef>
              <c:f>'25x'!$F$5:$AA$5</c:f>
              <c:numCache>
                <c:formatCode>_(* #,##0.0_);_(* \(#,##0.0\);_(* "-"??_);_(@_)</c:formatCode>
                <c:ptCount val="22"/>
                <c:pt idx="0">
                  <c:v>4.9066000000000001</c:v>
                </c:pt>
                <c:pt idx="1">
                  <c:v>5.1626000000000003</c:v>
                </c:pt>
                <c:pt idx="2">
                  <c:v>4.8902000000000001</c:v>
                </c:pt>
                <c:pt idx="3">
                  <c:v>5.1621999999999995</c:v>
                </c:pt>
                <c:pt idx="4">
                  <c:v>5.1848000000000001</c:v>
                </c:pt>
                <c:pt idx="5">
                  <c:v>5.3643999999999998</c:v>
                </c:pt>
                <c:pt idx="6">
                  <c:v>5.5034999999999998</c:v>
                </c:pt>
                <c:pt idx="7">
                  <c:v>5.6592000000000002</c:v>
                </c:pt>
                <c:pt idx="8">
                  <c:v>5.6695000000000002</c:v>
                </c:pt>
                <c:pt idx="9">
                  <c:v>5.6498999999999997</c:v>
                </c:pt>
                <c:pt idx="10">
                  <c:v>5.6103000000000005</c:v>
                </c:pt>
                <c:pt idx="11">
                  <c:v>5.907</c:v>
                </c:pt>
                <c:pt idx="12">
                  <c:v>5.9236000000000004</c:v>
                </c:pt>
                <c:pt idx="13">
                  <c:v>5.6771000000000003</c:v>
                </c:pt>
                <c:pt idx="14">
                  <c:v>5.3721000000000005</c:v>
                </c:pt>
                <c:pt idx="15">
                  <c:v>5.6898999999999997</c:v>
                </c:pt>
                <c:pt idx="16">
                  <c:v>5.5674999999999999</c:v>
                </c:pt>
                <c:pt idx="17">
                  <c:v>5.9904000000000002</c:v>
                </c:pt>
                <c:pt idx="18">
                  <c:v>5.8433000000000002</c:v>
                </c:pt>
                <c:pt idx="19">
                  <c:v>6.0523999999999996</c:v>
                </c:pt>
                <c:pt idx="20">
                  <c:v>6.3105000000000002</c:v>
                </c:pt>
                <c:pt idx="21">
                  <c:v>6.7138</c:v>
                </c:pt>
              </c:numCache>
            </c:numRef>
          </c:val>
          <c:smooth val="0"/>
          <c:extLst>
            <c:ext xmlns:c16="http://schemas.microsoft.com/office/drawing/2014/chart" uri="{C3380CC4-5D6E-409C-BE32-E72D297353CC}">
              <c16:uniqueId val="{00000000-6F19-439E-9F5F-E7E80E560AF7}"/>
            </c:ext>
          </c:extLst>
        </c:ser>
        <c:dLbls>
          <c:showLegendKey val="0"/>
          <c:showVal val="0"/>
          <c:showCatName val="0"/>
          <c:showSerName val="0"/>
          <c:showPercent val="0"/>
          <c:showBubbleSize val="0"/>
        </c:dLbls>
        <c:marker val="1"/>
        <c:smooth val="0"/>
        <c:axId val="1108063231"/>
        <c:axId val="969431263"/>
      </c:lineChart>
      <c:catAx>
        <c:axId val="11080024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9411711"/>
        <c:crosses val="autoZero"/>
        <c:auto val="1"/>
        <c:lblAlgn val="ctr"/>
        <c:lblOffset val="100"/>
        <c:noMultiLvlLbl val="0"/>
      </c:catAx>
      <c:valAx>
        <c:axId val="969411711"/>
        <c:scaling>
          <c:orientation val="minMax"/>
          <c:min val="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02431"/>
        <c:crosses val="autoZero"/>
        <c:crossBetween val="between"/>
      </c:valAx>
      <c:valAx>
        <c:axId val="969431263"/>
        <c:scaling>
          <c:orientation val="minMax"/>
          <c:min val="4"/>
        </c:scaling>
        <c:delete val="0"/>
        <c:axPos val="r"/>
        <c:numFmt formatCode="_(* #,##0.0_);_(* \(#,##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63231"/>
        <c:crosses val="max"/>
        <c:crossBetween val="between"/>
      </c:valAx>
      <c:catAx>
        <c:axId val="1108063231"/>
        <c:scaling>
          <c:orientation val="minMax"/>
        </c:scaling>
        <c:delete val="1"/>
        <c:axPos val="b"/>
        <c:majorTickMark val="out"/>
        <c:minorTickMark val="none"/>
        <c:tickLblPos val="nextTo"/>
        <c:crossAx val="9694312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spPr>
            <a:ln w="19050" cap="rnd">
              <a:solidFill>
                <a:schemeClr val="accent2"/>
              </a:solidFill>
              <a:round/>
            </a:ln>
            <a:effectLst/>
          </c:spPr>
          <c:marker>
            <c:symbol val="none"/>
          </c:marker>
          <c:cat>
            <c:numRef>
              <c:f>'25x'!$F$3:$AA$3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'25x'!$F$119:$AA$119</c:f>
              <c:numCache>
                <c:formatCode>0</c:formatCode>
                <c:ptCount val="22"/>
                <c:pt idx="0">
                  <c:v>95.411000000000001</c:v>
                </c:pt>
                <c:pt idx="1">
                  <c:v>102.80200000000001</c:v>
                </c:pt>
                <c:pt idx="2">
                  <c:v>103.151</c:v>
                </c:pt>
                <c:pt idx="3">
                  <c:v>103.15</c:v>
                </c:pt>
                <c:pt idx="4">
                  <c:v>106.07599999999999</c:v>
                </c:pt>
                <c:pt idx="5">
                  <c:v>112.172</c:v>
                </c:pt>
                <c:pt idx="6">
                  <c:v>120.26300000000001</c:v>
                </c:pt>
                <c:pt idx="7">
                  <c:v>127.241</c:v>
                </c:pt>
                <c:pt idx="8">
                  <c:v>135.364</c:v>
                </c:pt>
                <c:pt idx="9">
                  <c:v>123.408</c:v>
                </c:pt>
                <c:pt idx="10">
                  <c:v>121.874</c:v>
                </c:pt>
                <c:pt idx="11">
                  <c:v>126.748</c:v>
                </c:pt>
                <c:pt idx="12">
                  <c:v>127.188</c:v>
                </c:pt>
                <c:pt idx="13">
                  <c:v>124.375</c:v>
                </c:pt>
                <c:pt idx="14">
                  <c:v>119.994</c:v>
                </c:pt>
                <c:pt idx="15">
                  <c:v>121.76</c:v>
                </c:pt>
                <c:pt idx="16">
                  <c:v>122.17100000000001</c:v>
                </c:pt>
                <c:pt idx="17">
                  <c:v>128.55500000000001</c:v>
                </c:pt>
                <c:pt idx="18">
                  <c:v>136.38800000000001</c:v>
                </c:pt>
                <c:pt idx="19">
                  <c:v>141.99600000000001</c:v>
                </c:pt>
                <c:pt idx="20">
                  <c:v>141.89699999999999</c:v>
                </c:pt>
                <c:pt idx="21">
                  <c:v>157.85900000000001</c:v>
                </c:pt>
              </c:numCache>
            </c:numRef>
          </c:val>
          <c:smooth val="0"/>
          <c:extLst>
            <c:ext xmlns:c16="http://schemas.microsoft.com/office/drawing/2014/chart" uri="{C3380CC4-5D6E-409C-BE32-E72D297353CC}">
              <c16:uniqueId val="{00000000-15A6-4A4E-97C6-748B3C1911F3}"/>
            </c:ext>
          </c:extLst>
        </c:ser>
        <c:dLbls>
          <c:showLegendKey val="0"/>
          <c:showVal val="0"/>
          <c:showCatName val="0"/>
          <c:showSerName val="0"/>
          <c:showPercent val="0"/>
          <c:showBubbleSize val="0"/>
        </c:dLbls>
        <c:marker val="1"/>
        <c:smooth val="0"/>
        <c:axId val="1108002431"/>
        <c:axId val="969411711"/>
      </c:lineChart>
      <c:lineChart>
        <c:grouping val="standard"/>
        <c:varyColors val="0"/>
        <c:ser>
          <c:idx val="0"/>
          <c:order val="0"/>
          <c:spPr>
            <a:ln w="19050" cap="rnd">
              <a:solidFill>
                <a:schemeClr val="accent1"/>
              </a:solidFill>
              <a:round/>
            </a:ln>
            <a:effectLst/>
          </c:spPr>
          <c:marker>
            <c:symbol val="none"/>
          </c:marker>
          <c:cat>
            <c:numRef>
              <c:f>'25x'!$F$3:$AA$3</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'25x'!$F$6:$AA$6</c:f>
              <c:numCache>
                <c:formatCode>_(* #,##0.0_);_(* \(#,##0.0\);_(* "-"??_);_(@_)</c:formatCode>
                <c:ptCount val="22"/>
                <c:pt idx="0">
                  <c:v>148.19239999999999</c:v>
                </c:pt>
                <c:pt idx="1">
                  <c:v>150.9734</c:v>
                </c:pt>
                <c:pt idx="2">
                  <c:v>151.3141</c:v>
                </c:pt>
                <c:pt idx="3">
                  <c:v>152.7209</c:v>
                </c:pt>
                <c:pt idx="4">
                  <c:v>153.15529999999998</c:v>
                </c:pt>
                <c:pt idx="5">
                  <c:v>153.7268</c:v>
                </c:pt>
                <c:pt idx="6">
                  <c:v>156.1506</c:v>
                </c:pt>
                <c:pt idx="7">
                  <c:v>155.80429999999998</c:v>
                </c:pt>
                <c:pt idx="8">
                  <c:v>151.36660000000001</c:v>
                </c:pt>
                <c:pt idx="9">
                  <c:v>130.5059</c:v>
                </c:pt>
                <c:pt idx="10">
                  <c:v>138.43929999999997</c:v>
                </c:pt>
                <c:pt idx="11">
                  <c:v>140.03960000000001</c:v>
                </c:pt>
                <c:pt idx="12">
                  <c:v>130.80089999999998</c:v>
                </c:pt>
                <c:pt idx="13">
                  <c:v>124.8708</c:v>
                </c:pt>
                <c:pt idx="14">
                  <c:v>122.505</c:v>
                </c:pt>
                <c:pt idx="15">
                  <c:v>122.3623</c:v>
                </c:pt>
                <c:pt idx="16">
                  <c:v>122.738</c:v>
                </c:pt>
                <c:pt idx="17">
                  <c:v>125.52460000000001</c:v>
                </c:pt>
                <c:pt idx="18">
                  <c:v>126.432</c:v>
                </c:pt>
                <c:pt idx="19">
                  <c:v>128.93998999999999</c:v>
                </c:pt>
                <c:pt idx="20">
                  <c:v>125.4175</c:v>
                </c:pt>
                <c:pt idx="21">
                  <c:v>135.74615</c:v>
                </c:pt>
              </c:numCache>
            </c:numRef>
          </c:val>
          <c:smooth val="0"/>
          <c:extLst>
            <c:ext xmlns:c16="http://schemas.microsoft.com/office/drawing/2014/chart" uri="{C3380CC4-5D6E-409C-BE32-E72D297353CC}">
              <c16:uniqueId val="{00000001-15A6-4A4E-97C6-748B3C1911F3}"/>
            </c:ext>
          </c:extLst>
        </c:ser>
        <c:dLbls>
          <c:showLegendKey val="0"/>
          <c:showVal val="0"/>
          <c:showCatName val="0"/>
          <c:showSerName val="0"/>
          <c:showPercent val="0"/>
          <c:showBubbleSize val="0"/>
        </c:dLbls>
        <c:marker val="1"/>
        <c:smooth val="0"/>
        <c:axId val="1108063231"/>
        <c:axId val="969431263"/>
      </c:lineChart>
      <c:catAx>
        <c:axId val="11080024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9411711"/>
        <c:crosses val="autoZero"/>
        <c:auto val="1"/>
        <c:lblAlgn val="ctr"/>
        <c:lblOffset val="100"/>
        <c:noMultiLvlLbl val="0"/>
      </c:catAx>
      <c:valAx>
        <c:axId val="9694117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02431"/>
        <c:crosses val="autoZero"/>
        <c:crossBetween val="between"/>
      </c:valAx>
      <c:valAx>
        <c:axId val="969431263"/>
        <c:scaling>
          <c:orientation val="minMax"/>
        </c:scaling>
        <c:delete val="0"/>
        <c:axPos val="r"/>
        <c:numFmt formatCode="_(* #,##0.0_);_(* \(#,##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63231"/>
        <c:crosses val="max"/>
        <c:crossBetween val="between"/>
      </c:valAx>
      <c:catAx>
        <c:axId val="1108063231"/>
        <c:scaling>
          <c:orientation val="minMax"/>
        </c:scaling>
        <c:delete val="1"/>
        <c:axPos val="b"/>
        <c:numFmt formatCode="General" sourceLinked="1"/>
        <c:majorTickMark val="out"/>
        <c:minorTickMark val="none"/>
        <c:tickLblPos val="nextTo"/>
        <c:crossAx val="9694312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spPr>
            <a:ln w="19050" cap="rnd">
              <a:solidFill>
                <a:schemeClr val="accent2"/>
              </a:solidFill>
              <a:round/>
            </a:ln>
            <a:effectLst/>
          </c:spPr>
          <c:marker>
            <c:symbol val="none"/>
          </c:marker>
          <c:cat>
            <c:numRef>
              <c:f>'25x'!$F$3:$Z$3</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'25x'!$F$120:$AA$120</c:f>
              <c:numCache>
                <c:formatCode>0</c:formatCode>
                <c:ptCount val="22"/>
                <c:pt idx="0">
                  <c:v>319.98</c:v>
                </c:pt>
                <c:pt idx="1">
                  <c:v>337.69299999999998</c:v>
                </c:pt>
                <c:pt idx="2">
                  <c:v>356.62200000000001</c:v>
                </c:pt>
                <c:pt idx="3">
                  <c:v>367.33100000000002</c:v>
                </c:pt>
                <c:pt idx="4">
                  <c:v>380.22500000000002</c:v>
                </c:pt>
                <c:pt idx="5">
                  <c:v>393.49200000000002</c:v>
                </c:pt>
                <c:pt idx="6">
                  <c:v>415.50299999999999</c:v>
                </c:pt>
                <c:pt idx="7">
                  <c:v>442.57100000000003</c:v>
                </c:pt>
                <c:pt idx="8">
                  <c:v>461.21499999999997</c:v>
                </c:pt>
                <c:pt idx="9">
                  <c:v>455.75400000000002</c:v>
                </c:pt>
                <c:pt idx="10">
                  <c:v>467.96800000000002</c:v>
                </c:pt>
                <c:pt idx="11">
                  <c:v>477.74599999999998</c:v>
                </c:pt>
                <c:pt idx="12">
                  <c:v>481.17500000000001</c:v>
                </c:pt>
                <c:pt idx="13">
                  <c:v>488.91399999999999</c:v>
                </c:pt>
                <c:pt idx="14">
                  <c:v>505.78100000000001</c:v>
                </c:pt>
                <c:pt idx="15">
                  <c:v>524.06299999999999</c:v>
                </c:pt>
                <c:pt idx="16">
                  <c:v>539.85199999999998</c:v>
                </c:pt>
                <c:pt idx="17">
                  <c:v>561.04</c:v>
                </c:pt>
                <c:pt idx="18">
                  <c:v>586.32899999999995</c:v>
                </c:pt>
                <c:pt idx="19">
                  <c:v>617.62800000000004</c:v>
                </c:pt>
                <c:pt idx="20">
                  <c:v>600.39599999999996</c:v>
                </c:pt>
                <c:pt idx="21">
                  <c:v>653.40800000000002</c:v>
                </c:pt>
              </c:numCache>
            </c:numRef>
          </c:val>
          <c:smooth val="0"/>
          <c:extLst>
            <c:ext xmlns:c16="http://schemas.microsoft.com/office/drawing/2014/chart" uri="{C3380CC4-5D6E-409C-BE32-E72D297353CC}">
              <c16:uniqueId val="{00000000-87F1-4BCA-BD0D-E3DC262823F2}"/>
            </c:ext>
          </c:extLst>
        </c:ser>
        <c:dLbls>
          <c:showLegendKey val="0"/>
          <c:showVal val="0"/>
          <c:showCatName val="0"/>
          <c:showSerName val="0"/>
          <c:showPercent val="0"/>
          <c:showBubbleSize val="0"/>
        </c:dLbls>
        <c:marker val="1"/>
        <c:smooth val="0"/>
        <c:axId val="1108002431"/>
        <c:axId val="969411711"/>
      </c:lineChart>
      <c:lineChart>
        <c:grouping val="standard"/>
        <c:varyColors val="0"/>
        <c:ser>
          <c:idx val="0"/>
          <c:order val="0"/>
          <c:spPr>
            <a:ln w="19050" cap="rnd">
              <a:solidFill>
                <a:schemeClr val="accent1"/>
              </a:solidFill>
              <a:round/>
            </a:ln>
            <a:effectLst/>
          </c:spPr>
          <c:marker>
            <c:symbol val="none"/>
          </c:marker>
          <c:val>
            <c:numRef>
              <c:f>'25x'!$F$7:$AA$7</c:f>
              <c:numCache>
                <c:formatCode>_(* #,##0.0_);_(* \(#,##0.0\);_(* "-"??_);_(@_)</c:formatCode>
                <c:ptCount val="22"/>
                <c:pt idx="0">
                  <c:v>65.108800000000002</c:v>
                </c:pt>
                <c:pt idx="1">
                  <c:v>67.802700000000002</c:v>
                </c:pt>
                <c:pt idx="2">
                  <c:v>71.797699999999992</c:v>
                </c:pt>
                <c:pt idx="3">
                  <c:v>76.889699999999991</c:v>
                </c:pt>
                <c:pt idx="4">
                  <c:v>79.557400000000001</c:v>
                </c:pt>
                <c:pt idx="5">
                  <c:v>83.793000000000006</c:v>
                </c:pt>
                <c:pt idx="6">
                  <c:v>88.276499999999999</c:v>
                </c:pt>
                <c:pt idx="7">
                  <c:v>90.268500000000003</c:v>
                </c:pt>
                <c:pt idx="8">
                  <c:v>93.612200000000001</c:v>
                </c:pt>
                <c:pt idx="9">
                  <c:v>94.83489999999999</c:v>
                </c:pt>
                <c:pt idx="10">
                  <c:v>96.284499999999994</c:v>
                </c:pt>
                <c:pt idx="11">
                  <c:v>97.705100000000002</c:v>
                </c:pt>
                <c:pt idx="12">
                  <c:v>101.0384</c:v>
                </c:pt>
                <c:pt idx="13">
                  <c:v>99.756500000000003</c:v>
                </c:pt>
                <c:pt idx="14">
                  <c:v>98.951399999999992</c:v>
                </c:pt>
                <c:pt idx="15">
                  <c:v>102.9405</c:v>
                </c:pt>
                <c:pt idx="16">
                  <c:v>102.8985</c:v>
                </c:pt>
                <c:pt idx="17">
                  <c:v>104.87479999999999</c:v>
                </c:pt>
                <c:pt idx="18">
                  <c:v>106.02979999999999</c:v>
                </c:pt>
                <c:pt idx="19">
                  <c:v>101.2234</c:v>
                </c:pt>
                <c:pt idx="20">
                  <c:v>85.874800000000008</c:v>
                </c:pt>
                <c:pt idx="21">
                  <c:v>91.374899999999997</c:v>
                </c:pt>
              </c:numCache>
            </c:numRef>
          </c:val>
          <c:smooth val="0"/>
          <c:extLst>
            <c:ext xmlns:c16="http://schemas.microsoft.com/office/drawing/2014/chart" uri="{C3380CC4-5D6E-409C-BE32-E72D297353CC}">
              <c16:uniqueId val="{00000001-87F1-4BCA-BD0D-E3DC262823F2}"/>
            </c:ext>
          </c:extLst>
        </c:ser>
        <c:dLbls>
          <c:showLegendKey val="0"/>
          <c:showVal val="0"/>
          <c:showCatName val="0"/>
          <c:showSerName val="0"/>
          <c:showPercent val="0"/>
          <c:showBubbleSize val="0"/>
        </c:dLbls>
        <c:marker val="1"/>
        <c:smooth val="0"/>
        <c:axId val="1108063231"/>
        <c:axId val="969431263"/>
      </c:lineChart>
      <c:catAx>
        <c:axId val="11080024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9411711"/>
        <c:crosses val="autoZero"/>
        <c:auto val="1"/>
        <c:lblAlgn val="ctr"/>
        <c:lblOffset val="100"/>
        <c:noMultiLvlLbl val="0"/>
      </c:catAx>
      <c:valAx>
        <c:axId val="9694117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02431"/>
        <c:crosses val="autoZero"/>
        <c:crossBetween val="between"/>
      </c:valAx>
      <c:valAx>
        <c:axId val="969431263"/>
        <c:scaling>
          <c:orientation val="minMax"/>
        </c:scaling>
        <c:delete val="0"/>
        <c:axPos val="r"/>
        <c:numFmt formatCode="_(* #,##0.0_);_(* \(#,##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08063231"/>
        <c:crosses val="max"/>
        <c:crossBetween val="between"/>
      </c:valAx>
      <c:catAx>
        <c:axId val="1108063231"/>
        <c:scaling>
          <c:orientation val="minMax"/>
        </c:scaling>
        <c:delete val="1"/>
        <c:axPos val="b"/>
        <c:majorTickMark val="out"/>
        <c:minorTickMark val="none"/>
        <c:tickLblPos val="nextTo"/>
        <c:crossAx val="9694312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4128520303808412E-2"/>
                  <c:y val="0.3455708152100208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xVal>
            <c:numRef>
              <c:f>'25x'!$F$120:$Y$120</c:f>
              <c:numCache>
                <c:formatCode>0</c:formatCode>
                <c:ptCount val="20"/>
                <c:pt idx="0">
                  <c:v>319.98</c:v>
                </c:pt>
                <c:pt idx="1">
                  <c:v>337.69299999999998</c:v>
                </c:pt>
                <c:pt idx="2">
                  <c:v>356.62200000000001</c:v>
                </c:pt>
                <c:pt idx="3">
                  <c:v>367.33100000000002</c:v>
                </c:pt>
                <c:pt idx="4">
                  <c:v>380.22500000000002</c:v>
                </c:pt>
                <c:pt idx="5">
                  <c:v>393.49200000000002</c:v>
                </c:pt>
                <c:pt idx="6">
                  <c:v>415.50299999999999</c:v>
                </c:pt>
                <c:pt idx="7">
                  <c:v>442.57100000000003</c:v>
                </c:pt>
                <c:pt idx="8">
                  <c:v>461.21499999999997</c:v>
                </c:pt>
                <c:pt idx="9">
                  <c:v>455.75400000000002</c:v>
                </c:pt>
                <c:pt idx="10">
                  <c:v>467.96800000000002</c:v>
                </c:pt>
                <c:pt idx="11">
                  <c:v>477.74599999999998</c:v>
                </c:pt>
                <c:pt idx="12">
                  <c:v>481.17500000000001</c:v>
                </c:pt>
                <c:pt idx="13">
                  <c:v>488.91399999999999</c:v>
                </c:pt>
                <c:pt idx="14">
                  <c:v>505.78100000000001</c:v>
                </c:pt>
                <c:pt idx="15">
                  <c:v>524.06299999999999</c:v>
                </c:pt>
                <c:pt idx="16">
                  <c:v>539.85199999999998</c:v>
                </c:pt>
                <c:pt idx="17">
                  <c:v>561.04</c:v>
                </c:pt>
                <c:pt idx="18">
                  <c:v>586.32899999999995</c:v>
                </c:pt>
                <c:pt idx="19">
                  <c:v>617.62800000000004</c:v>
                </c:pt>
              </c:numCache>
            </c:numRef>
          </c:xVal>
          <c:yVal>
            <c:numRef>
              <c:f>'25x'!$F$7:$Y$7</c:f>
              <c:numCache>
                <c:formatCode>_(* #,##0.0_);_(* \(#,##0.0\);_(* "-"??_);_(@_)</c:formatCode>
                <c:ptCount val="20"/>
                <c:pt idx="0">
                  <c:v>65.108800000000002</c:v>
                </c:pt>
                <c:pt idx="1">
                  <c:v>67.802700000000002</c:v>
                </c:pt>
                <c:pt idx="2">
                  <c:v>71.797699999999992</c:v>
                </c:pt>
                <c:pt idx="3">
                  <c:v>76.889699999999991</c:v>
                </c:pt>
                <c:pt idx="4">
                  <c:v>79.557400000000001</c:v>
                </c:pt>
                <c:pt idx="5">
                  <c:v>83.793000000000006</c:v>
                </c:pt>
                <c:pt idx="6">
                  <c:v>88.276499999999999</c:v>
                </c:pt>
                <c:pt idx="7">
                  <c:v>90.268500000000003</c:v>
                </c:pt>
                <c:pt idx="8">
                  <c:v>93.612200000000001</c:v>
                </c:pt>
                <c:pt idx="9">
                  <c:v>94.83489999999999</c:v>
                </c:pt>
                <c:pt idx="10">
                  <c:v>96.284499999999994</c:v>
                </c:pt>
                <c:pt idx="11">
                  <c:v>97.705100000000002</c:v>
                </c:pt>
                <c:pt idx="12">
                  <c:v>101.0384</c:v>
                </c:pt>
                <c:pt idx="13">
                  <c:v>99.756500000000003</c:v>
                </c:pt>
                <c:pt idx="14">
                  <c:v>98.951399999999992</c:v>
                </c:pt>
                <c:pt idx="15">
                  <c:v>102.9405</c:v>
                </c:pt>
                <c:pt idx="16">
                  <c:v>102.8985</c:v>
                </c:pt>
                <c:pt idx="17">
                  <c:v>104.87479999999999</c:v>
                </c:pt>
                <c:pt idx="18">
                  <c:v>106.02979999999999</c:v>
                </c:pt>
                <c:pt idx="19">
                  <c:v>101.2234</c:v>
                </c:pt>
              </c:numCache>
            </c:numRef>
          </c:yVal>
          <c:smooth val="0"/>
          <c:extLst>
            <c:ext xmlns:c16="http://schemas.microsoft.com/office/drawing/2014/chart" uri="{C3380CC4-5D6E-409C-BE32-E72D297353CC}">
              <c16:uniqueId val="{00000000-3682-4BD8-940E-F94B3D3293D8}"/>
            </c:ext>
          </c:extLst>
        </c:ser>
        <c:dLbls>
          <c:showLegendKey val="0"/>
          <c:showVal val="0"/>
          <c:showCatName val="0"/>
          <c:showSerName val="0"/>
          <c:showPercent val="0"/>
          <c:showBubbleSize val="0"/>
        </c:dLbls>
        <c:axId val="1262786271"/>
        <c:axId val="1307832303"/>
      </c:scatterChart>
      <c:valAx>
        <c:axId val="126278627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07832303"/>
        <c:crosses val="autoZero"/>
        <c:crossBetween val="midCat"/>
      </c:valAx>
      <c:valAx>
        <c:axId val="1307832303"/>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62786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4128520303808412E-2"/>
                  <c:y val="0.3455708152100208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xVal>
            <c:numRef>
              <c:f>'25x'!$F$119:$Y$119</c:f>
              <c:numCache>
                <c:formatCode>0</c:formatCode>
                <c:ptCount val="20"/>
                <c:pt idx="0">
                  <c:v>95.411000000000001</c:v>
                </c:pt>
                <c:pt idx="1">
                  <c:v>102.80200000000001</c:v>
                </c:pt>
                <c:pt idx="2">
                  <c:v>103.151</c:v>
                </c:pt>
                <c:pt idx="3">
                  <c:v>103.15</c:v>
                </c:pt>
                <c:pt idx="4">
                  <c:v>106.07599999999999</c:v>
                </c:pt>
                <c:pt idx="5">
                  <c:v>112.172</c:v>
                </c:pt>
                <c:pt idx="6">
                  <c:v>120.26300000000001</c:v>
                </c:pt>
                <c:pt idx="7">
                  <c:v>127.241</c:v>
                </c:pt>
                <c:pt idx="8">
                  <c:v>135.364</c:v>
                </c:pt>
                <c:pt idx="9">
                  <c:v>123.408</c:v>
                </c:pt>
                <c:pt idx="10">
                  <c:v>121.874</c:v>
                </c:pt>
                <c:pt idx="11">
                  <c:v>126.748</c:v>
                </c:pt>
                <c:pt idx="12">
                  <c:v>127.188</c:v>
                </c:pt>
                <c:pt idx="13">
                  <c:v>124.375</c:v>
                </c:pt>
                <c:pt idx="14">
                  <c:v>119.994</c:v>
                </c:pt>
                <c:pt idx="15">
                  <c:v>121.76</c:v>
                </c:pt>
                <c:pt idx="16">
                  <c:v>122.17100000000001</c:v>
                </c:pt>
                <c:pt idx="17">
                  <c:v>128.55500000000001</c:v>
                </c:pt>
                <c:pt idx="18">
                  <c:v>136.38800000000001</c:v>
                </c:pt>
                <c:pt idx="19">
                  <c:v>141.99600000000001</c:v>
                </c:pt>
              </c:numCache>
            </c:numRef>
          </c:xVal>
          <c:yVal>
            <c:numRef>
              <c:f>'25x'!$F$6:$Y$6</c:f>
              <c:numCache>
                <c:formatCode>_(* #,##0.0_);_(* \(#,##0.0\);_(* "-"??_);_(@_)</c:formatCode>
                <c:ptCount val="20"/>
                <c:pt idx="0">
                  <c:v>148.19239999999999</c:v>
                </c:pt>
                <c:pt idx="1">
                  <c:v>150.9734</c:v>
                </c:pt>
                <c:pt idx="2">
                  <c:v>151.3141</c:v>
                </c:pt>
                <c:pt idx="3">
                  <c:v>152.7209</c:v>
                </c:pt>
                <c:pt idx="4">
                  <c:v>153.15529999999998</c:v>
                </c:pt>
                <c:pt idx="5">
                  <c:v>153.7268</c:v>
                </c:pt>
                <c:pt idx="6">
                  <c:v>156.1506</c:v>
                </c:pt>
                <c:pt idx="7">
                  <c:v>155.80429999999998</c:v>
                </c:pt>
                <c:pt idx="8">
                  <c:v>151.36660000000001</c:v>
                </c:pt>
                <c:pt idx="9">
                  <c:v>130.5059</c:v>
                </c:pt>
                <c:pt idx="10">
                  <c:v>138.43929999999997</c:v>
                </c:pt>
                <c:pt idx="11">
                  <c:v>140.03960000000001</c:v>
                </c:pt>
                <c:pt idx="12">
                  <c:v>130.80089999999998</c:v>
                </c:pt>
                <c:pt idx="13">
                  <c:v>124.8708</c:v>
                </c:pt>
                <c:pt idx="14">
                  <c:v>122.505</c:v>
                </c:pt>
                <c:pt idx="15">
                  <c:v>122.3623</c:v>
                </c:pt>
                <c:pt idx="16">
                  <c:v>122.738</c:v>
                </c:pt>
                <c:pt idx="17">
                  <c:v>125.52460000000001</c:v>
                </c:pt>
                <c:pt idx="18">
                  <c:v>126.432</c:v>
                </c:pt>
                <c:pt idx="19">
                  <c:v>128.93998999999999</c:v>
                </c:pt>
              </c:numCache>
            </c:numRef>
          </c:yVal>
          <c:smooth val="0"/>
          <c:extLst>
            <c:ext xmlns:c16="http://schemas.microsoft.com/office/drawing/2014/chart" uri="{C3380CC4-5D6E-409C-BE32-E72D297353CC}">
              <c16:uniqueId val="{00000001-6156-4988-8B96-0F36C7AF9F2E}"/>
            </c:ext>
          </c:extLst>
        </c:ser>
        <c:dLbls>
          <c:showLegendKey val="0"/>
          <c:showVal val="0"/>
          <c:showCatName val="0"/>
          <c:showSerName val="0"/>
          <c:showPercent val="0"/>
          <c:showBubbleSize val="0"/>
        </c:dLbls>
        <c:axId val="1262786271"/>
        <c:axId val="1307832303"/>
      </c:scatterChart>
      <c:valAx>
        <c:axId val="126278627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07832303"/>
        <c:crosses val="autoZero"/>
        <c:crossBetween val="midCat"/>
      </c:valAx>
      <c:valAx>
        <c:axId val="1307832303"/>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62786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6116943715368"/>
          <c:y val="6.7564822571003519E-2"/>
          <c:w val="0.78764253426655007"/>
          <c:h val="0.78994546449969139"/>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4128520303808412E-2"/>
                  <c:y val="0.3455708152100208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trendlineLbl>
          </c:trendline>
          <c:xVal>
            <c:numRef>
              <c:f>'25x'!$S$118:$Y$118</c:f>
              <c:numCache>
                <c:formatCode>0</c:formatCode>
                <c:ptCount val="7"/>
                <c:pt idx="0">
                  <c:v>12.278</c:v>
                </c:pt>
                <c:pt idx="1">
                  <c:v>12.222</c:v>
                </c:pt>
                <c:pt idx="2">
                  <c:v>12.627000000000001</c:v>
                </c:pt>
                <c:pt idx="3">
                  <c:v>13.423999999999999</c:v>
                </c:pt>
                <c:pt idx="4">
                  <c:v>14.776</c:v>
                </c:pt>
                <c:pt idx="5">
                  <c:v>13.855</c:v>
                </c:pt>
                <c:pt idx="6">
                  <c:v>14.593999999999999</c:v>
                </c:pt>
              </c:numCache>
            </c:numRef>
          </c:xVal>
          <c:yVal>
            <c:numRef>
              <c:f>'25x'!$S$5:$Y$5</c:f>
              <c:numCache>
                <c:formatCode>_(* #,##0.0_);_(* \(#,##0.0\);_(* "-"??_);_(@_)</c:formatCode>
                <c:ptCount val="7"/>
                <c:pt idx="0">
                  <c:v>5.6771000000000003</c:v>
                </c:pt>
                <c:pt idx="1">
                  <c:v>5.3721000000000005</c:v>
                </c:pt>
                <c:pt idx="2">
                  <c:v>5.6898999999999997</c:v>
                </c:pt>
                <c:pt idx="3">
                  <c:v>5.5674999999999999</c:v>
                </c:pt>
                <c:pt idx="4">
                  <c:v>5.9904000000000002</c:v>
                </c:pt>
                <c:pt idx="5">
                  <c:v>5.8433000000000002</c:v>
                </c:pt>
                <c:pt idx="6">
                  <c:v>6.0523999999999996</c:v>
                </c:pt>
              </c:numCache>
            </c:numRef>
          </c:yVal>
          <c:smooth val="0"/>
          <c:extLst>
            <c:ext xmlns:c16="http://schemas.microsoft.com/office/drawing/2014/chart" uri="{C3380CC4-5D6E-409C-BE32-E72D297353CC}">
              <c16:uniqueId val="{00000001-B845-4A54-B136-FB5A1E9A53FF}"/>
            </c:ext>
          </c:extLst>
        </c:ser>
        <c:dLbls>
          <c:showLegendKey val="0"/>
          <c:showVal val="0"/>
          <c:showCatName val="0"/>
          <c:showSerName val="0"/>
          <c:showPercent val="0"/>
          <c:showBubbleSize val="0"/>
        </c:dLbls>
        <c:axId val="1262786271"/>
        <c:axId val="1307832303"/>
      </c:scatterChart>
      <c:valAx>
        <c:axId val="126278627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307832303"/>
        <c:crosses val="autoZero"/>
        <c:crossBetween val="midCat"/>
      </c:valAx>
      <c:valAx>
        <c:axId val="1307832303"/>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262786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68584658913113"/>
          <c:y val="5.13585977626181E-2"/>
          <c:w val="0.83785590795669673"/>
          <c:h val="0.75231167889028416"/>
        </c:manualLayout>
      </c:layout>
      <c:lineChart>
        <c:grouping val="standard"/>
        <c:varyColors val="0"/>
        <c:ser>
          <c:idx val="0"/>
          <c:order val="0"/>
          <c:tx>
            <c:v>Idroelettrica</c:v>
          </c:tx>
          <c:spPr>
            <a:ln>
              <a:solidFill>
                <a:schemeClr val="tx2">
                  <a:lumMod val="60000"/>
                  <a:lumOff val="40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0.14601108033240998</c:v>
              </c:pt>
              <c:pt idx="1">
                <c:v>0.19042541920912107</c:v>
              </c:pt>
              <c:pt idx="2">
                <c:v>0.18651603949543433</c:v>
              </c:pt>
              <c:pt idx="3">
                <c:v>0.18592741537329108</c:v>
              </c:pt>
              <c:pt idx="4">
                <c:v>0.19264733985670329</c:v>
              </c:pt>
              <c:pt idx="5">
                <c:v>0.15644981558112755</c:v>
              </c:pt>
              <c:pt idx="6">
                <c:v>0.17197278421743167</c:v>
              </c:pt>
              <c:pt idx="7">
                <c:v>0.1654266237933939</c:v>
              </c:pt>
              <c:pt idx="8">
                <c:v>0.15863953747969545</c:v>
              </c:pt>
              <c:pt idx="9">
                <c:v>0.17073754645048994</c:v>
              </c:pt>
              <c:pt idx="10">
                <c:v>0.15977310772792158</c:v>
              </c:pt>
              <c:pt idx="11">
                <c:v>0.16777403993998755</c:v>
              </c:pt>
              <c:pt idx="12">
                <c:v>0.13852966662553703</c:v>
              </c:pt>
              <c:pt idx="13">
                <c:v>0.12477376270016832</c:v>
              </c:pt>
              <c:pt idx="14">
                <c:v>0.13956832445354878</c:v>
              </c:pt>
              <c:pt idx="15">
                <c:v>0.1187584767625986</c:v>
              </c:pt>
              <c:pt idx="16">
                <c:v>0.11777046499952723</c:v>
              </c:pt>
              <c:pt idx="17">
                <c:v>0.10454436266716959</c:v>
              </c:pt>
              <c:pt idx="18">
                <c:v>0.1304266354484197</c:v>
              </c:pt>
              <c:pt idx="19">
                <c:v>0.16790959347682119</c:v>
              </c:pt>
              <c:pt idx="20">
                <c:v>0.16922607432220557</c:v>
              </c:pt>
              <c:pt idx="21">
                <c:v>0.1514395873414959</c:v>
              </c:pt>
              <c:pt idx="22">
                <c:v>0.13992058172350491</c:v>
              </c:pt>
              <c:pt idx="23">
                <c:v>0.18210037891139491</c:v>
              </c:pt>
              <c:pt idx="24">
                <c:v>0.20921908513866722</c:v>
              </c:pt>
              <c:pt idx="25">
                <c:v>0.16091265571448712</c:v>
              </c:pt>
              <c:pt idx="26">
                <c:v>0.14643359761354074</c:v>
              </c:pt>
              <c:pt idx="27">
                <c:v>0.12236318438121832</c:v>
              </c:pt>
              <c:pt idx="28">
                <c:v>0.16839874143119424</c:v>
              </c:pt>
              <c:pt idx="29">
                <c:v>0.15762463031875448</c:v>
              </c:pt>
              <c:pt idx="30">
                <c:v>0.16950633603641432</c:v>
              </c:pt>
              <c:pt idx="31">
                <c:v>0.15701448630593851</c:v>
              </c:pt>
              <c:pt idx="32">
                <c:v>0.1000051334297504</c:v>
              </c:pt>
              <c:pt idx="33">
                <c:v>0.15306400115515389</c:v>
              </c:pt>
              <c:pt idx="34">
                <c:v>0.1948041068648077</c:v>
              </c:pt>
            </c:numLit>
          </c:val>
          <c:smooth val="1"/>
          <c:extLst>
            <c:ext xmlns:c16="http://schemas.microsoft.com/office/drawing/2014/chart" uri="{C3380CC4-5D6E-409C-BE32-E72D297353CC}">
              <c16:uniqueId val="{00000000-9448-468B-9C11-1E8A386AFA0A}"/>
            </c:ext>
          </c:extLst>
        </c:ser>
        <c:dLbls>
          <c:showLegendKey val="0"/>
          <c:showVal val="0"/>
          <c:showCatName val="0"/>
          <c:showSerName val="0"/>
          <c:showPercent val="0"/>
          <c:showBubbleSize val="0"/>
        </c:dLbls>
        <c:smooth val="0"/>
        <c:axId val="166919168"/>
        <c:axId val="166933248"/>
      </c:lineChart>
      <c:dateAx>
        <c:axId val="1669191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33248"/>
        <c:crosses val="autoZero"/>
        <c:auto val="0"/>
        <c:lblOffset val="100"/>
        <c:baseTimeUnit val="days"/>
        <c:majorUnit val="1"/>
        <c:majorTimeUnit val="days"/>
      </c:dateAx>
      <c:valAx>
        <c:axId val="166933248"/>
        <c:scaling>
          <c:orientation val="minMax"/>
          <c:max val="0.22"/>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19168"/>
        <c:crosses val="autoZero"/>
        <c:crossBetween val="between"/>
        <c:majorUnit val="2.0000000000000011E-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36666893148424"/>
          <c:y val="5.1425899953249185E-2"/>
          <c:w val="0.79903015478769857"/>
          <c:h val="0.59523804264999836"/>
        </c:manualLayout>
      </c:layout>
      <c:lineChart>
        <c:grouping val="standard"/>
        <c:varyColors val="0"/>
        <c:ser>
          <c:idx val="4"/>
          <c:order val="0"/>
          <c:tx>
            <c:strRef>
              <c:f>'25x'!$A$128</c:f>
              <c:strCache>
                <c:ptCount val="1"/>
                <c:pt idx="0">
                  <c:v>Totale</c:v>
                </c:pt>
              </c:strCache>
            </c:strRef>
          </c:tx>
          <c:spPr>
            <a:ln w="28575" cap="rnd">
              <a:solidFill>
                <a:schemeClr val="accent5"/>
              </a:solidFill>
              <a:round/>
            </a:ln>
            <a:effectLst/>
          </c:spPr>
          <c:marker>
            <c:symbol val="none"/>
          </c:marker>
          <c:cat>
            <c:numRef>
              <c:f>'25x'!$T$3:$AA$3</c:f>
              <c:numCache>
                <c:formatCode>General</c:formatCode>
                <c:ptCount val="8"/>
                <c:pt idx="0">
                  <c:v>2014</c:v>
                </c:pt>
                <c:pt idx="1">
                  <c:v>2015</c:v>
                </c:pt>
                <c:pt idx="2">
                  <c:v>2016</c:v>
                </c:pt>
                <c:pt idx="3">
                  <c:v>2017</c:v>
                </c:pt>
                <c:pt idx="4">
                  <c:v>2018</c:v>
                </c:pt>
                <c:pt idx="5">
                  <c:v>2019</c:v>
                </c:pt>
                <c:pt idx="6">
                  <c:v>2020</c:v>
                </c:pt>
                <c:pt idx="7">
                  <c:v>2021</c:v>
                </c:pt>
              </c:numCache>
            </c:numRef>
          </c:cat>
          <c:val>
            <c:numRef>
              <c:f>'25x'!$T$128:$Z$128</c:f>
              <c:numCache>
                <c:formatCode>0.00</c:formatCode>
                <c:ptCount val="7"/>
                <c:pt idx="0">
                  <c:v>2.1918006345258325</c:v>
                </c:pt>
                <c:pt idx="1">
                  <c:v>2.2156605424321962</c:v>
                </c:pt>
                <c:pt idx="2">
                  <c:v>2.2857132221711614</c:v>
                </c:pt>
                <c:pt idx="3">
                  <c:v>2.3332775717543863</c:v>
                </c:pt>
                <c:pt idx="4">
                  <c:v>2.4273825487431075</c:v>
                </c:pt>
                <c:pt idx="5">
                  <c:v>2.5653024436836929</c:v>
                </c:pt>
                <c:pt idx="6">
                  <c:v>2.6653968227123079</c:v>
                </c:pt>
              </c:numCache>
            </c:numRef>
          </c:val>
          <c:smooth val="0"/>
          <c:extLst>
            <c:ext xmlns:c16="http://schemas.microsoft.com/office/drawing/2014/chart" uri="{C3380CC4-5D6E-409C-BE32-E72D297353CC}">
              <c16:uniqueId val="{00000004-76B5-4214-8F9A-09C87A9B5CFA}"/>
            </c:ext>
          </c:extLst>
        </c:ser>
        <c:ser>
          <c:idx val="0"/>
          <c:order val="1"/>
          <c:tx>
            <c:strRef>
              <c:f>'25x'!$A$118</c:f>
              <c:strCache>
                <c:ptCount val="1"/>
                <c:pt idx="0">
                  <c:v>Agricoltura</c:v>
                </c:pt>
              </c:strCache>
            </c:strRef>
          </c:tx>
          <c:spPr>
            <a:ln w="28575" cap="rnd">
              <a:solidFill>
                <a:schemeClr val="accent1"/>
              </a:solidFill>
              <a:round/>
            </a:ln>
            <a:effectLst/>
          </c:spPr>
          <c:marker>
            <c:symbol val="none"/>
          </c:marker>
          <c:cat>
            <c:numRef>
              <c:f>'25x'!$T$3:$AA$3</c:f>
              <c:numCache>
                <c:formatCode>General</c:formatCode>
                <c:ptCount val="8"/>
                <c:pt idx="0">
                  <c:v>2014</c:v>
                </c:pt>
                <c:pt idx="1">
                  <c:v>2015</c:v>
                </c:pt>
                <c:pt idx="2">
                  <c:v>2016</c:v>
                </c:pt>
                <c:pt idx="3">
                  <c:v>2017</c:v>
                </c:pt>
                <c:pt idx="4">
                  <c:v>2018</c:v>
                </c:pt>
                <c:pt idx="5">
                  <c:v>2019</c:v>
                </c:pt>
                <c:pt idx="6">
                  <c:v>2020</c:v>
                </c:pt>
                <c:pt idx="7">
                  <c:v>2021</c:v>
                </c:pt>
              </c:numCache>
            </c:numRef>
          </c:cat>
          <c:val>
            <c:numRef>
              <c:f>'25x'!$T$124:$Z$124</c:f>
              <c:numCache>
                <c:formatCode>0.00</c:formatCode>
                <c:ptCount val="7"/>
                <c:pt idx="0">
                  <c:v>2.2750879544312279</c:v>
                </c:pt>
                <c:pt idx="1">
                  <c:v>2.2191954164396566</c:v>
                </c:pt>
                <c:pt idx="2">
                  <c:v>2.4111360574764258</c:v>
                </c:pt>
                <c:pt idx="3">
                  <c:v>2.4666132478632479</c:v>
                </c:pt>
                <c:pt idx="4">
                  <c:v>2.3710916776479043</c:v>
                </c:pt>
                <c:pt idx="5">
                  <c:v>2.4112748661687928</c:v>
                </c:pt>
                <c:pt idx="6">
                  <c:v>2.2478409000871564</c:v>
                </c:pt>
              </c:numCache>
            </c:numRef>
          </c:val>
          <c:smooth val="0"/>
          <c:extLst>
            <c:ext xmlns:c16="http://schemas.microsoft.com/office/drawing/2014/chart" uri="{C3380CC4-5D6E-409C-BE32-E72D297353CC}">
              <c16:uniqueId val="{00000000-76B5-4214-8F9A-09C87A9B5CFA}"/>
            </c:ext>
          </c:extLst>
        </c:ser>
        <c:ser>
          <c:idx val="1"/>
          <c:order val="2"/>
          <c:tx>
            <c:strRef>
              <c:f>'25x'!$A$119</c:f>
              <c:strCache>
                <c:ptCount val="1"/>
                <c:pt idx="0">
                  <c:v>Industria + costruzioni</c:v>
                </c:pt>
              </c:strCache>
            </c:strRef>
          </c:tx>
          <c:spPr>
            <a:ln w="28575" cap="rnd">
              <a:solidFill>
                <a:schemeClr val="accent2"/>
              </a:solidFill>
              <a:round/>
            </a:ln>
            <a:effectLst/>
          </c:spPr>
          <c:marker>
            <c:symbol val="none"/>
          </c:marker>
          <c:cat>
            <c:numRef>
              <c:f>'25x'!$T$3:$AA$3</c:f>
              <c:numCache>
                <c:formatCode>General</c:formatCode>
                <c:ptCount val="8"/>
                <c:pt idx="0">
                  <c:v>2014</c:v>
                </c:pt>
                <c:pt idx="1">
                  <c:v>2015</c:v>
                </c:pt>
                <c:pt idx="2">
                  <c:v>2016</c:v>
                </c:pt>
                <c:pt idx="3">
                  <c:v>2017</c:v>
                </c:pt>
                <c:pt idx="4">
                  <c:v>2018</c:v>
                </c:pt>
                <c:pt idx="5">
                  <c:v>2019</c:v>
                </c:pt>
                <c:pt idx="6">
                  <c:v>2020</c:v>
                </c:pt>
                <c:pt idx="7">
                  <c:v>2021</c:v>
                </c:pt>
              </c:numCache>
            </c:numRef>
          </c:cat>
          <c:val>
            <c:numRef>
              <c:f>'25x'!$T$125:$Z$125</c:f>
              <c:numCache>
                <c:formatCode>0.00</c:formatCode>
                <c:ptCount val="7"/>
                <c:pt idx="0">
                  <c:v>0.97950287743357423</c:v>
                </c:pt>
                <c:pt idx="1">
                  <c:v>0.99507773227538221</c:v>
                </c:pt>
                <c:pt idx="2">
                  <c:v>0.99538040378692827</c:v>
                </c:pt>
                <c:pt idx="3">
                  <c:v>1.0241418813523404</c:v>
                </c:pt>
                <c:pt idx="4">
                  <c:v>1.0787458871171856</c:v>
                </c:pt>
                <c:pt idx="5">
                  <c:v>1.1012564837332468</c:v>
                </c:pt>
                <c:pt idx="6">
                  <c:v>1.1313971335738633</c:v>
                </c:pt>
              </c:numCache>
            </c:numRef>
          </c:val>
          <c:smooth val="0"/>
          <c:extLst>
            <c:ext xmlns:c16="http://schemas.microsoft.com/office/drawing/2014/chart" uri="{C3380CC4-5D6E-409C-BE32-E72D297353CC}">
              <c16:uniqueId val="{00000001-76B5-4214-8F9A-09C87A9B5CFA}"/>
            </c:ext>
          </c:extLst>
        </c:ser>
        <c:dLbls>
          <c:showLegendKey val="0"/>
          <c:showVal val="0"/>
          <c:showCatName val="0"/>
          <c:showSerName val="0"/>
          <c:showPercent val="0"/>
          <c:showBubbleSize val="0"/>
        </c:dLbls>
        <c:marker val="1"/>
        <c:smooth val="0"/>
        <c:axId val="969214303"/>
        <c:axId val="969410879"/>
      </c:lineChart>
      <c:lineChart>
        <c:grouping val="standard"/>
        <c:varyColors val="0"/>
        <c:ser>
          <c:idx val="2"/>
          <c:order val="3"/>
          <c:tx>
            <c:strRef>
              <c:f>'25x'!$A$120</c:f>
              <c:strCache>
                <c:ptCount val="1"/>
                <c:pt idx="0">
                  <c:v>Servizi</c:v>
                </c:pt>
              </c:strCache>
            </c:strRef>
          </c:tx>
          <c:spPr>
            <a:ln w="28575" cap="rnd">
              <a:solidFill>
                <a:schemeClr val="accent3"/>
              </a:solidFill>
              <a:round/>
            </a:ln>
            <a:effectLst/>
          </c:spPr>
          <c:marker>
            <c:symbol val="none"/>
          </c:marker>
          <c:cat>
            <c:numRef>
              <c:f>'25x'!$F$3:$Z$3</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'25x'!$T$126:$Z$126</c:f>
              <c:numCache>
                <c:formatCode>0.00</c:formatCode>
                <c:ptCount val="7"/>
                <c:pt idx="0">
                  <c:v>5.1114082266648078</c:v>
                </c:pt>
                <c:pt idx="1">
                  <c:v>5.0909311689762529</c:v>
                </c:pt>
                <c:pt idx="2">
                  <c:v>5.2464516003634651</c:v>
                </c:pt>
                <c:pt idx="3">
                  <c:v>5.3496168765041743</c:v>
                </c:pt>
                <c:pt idx="4">
                  <c:v>5.5298510418769062</c:v>
                </c:pt>
                <c:pt idx="5">
                  <c:v>6.1016326264480352</c:v>
                </c:pt>
                <c:pt idx="6">
                  <c:v>6.9915272000633468</c:v>
                </c:pt>
              </c:numCache>
            </c:numRef>
          </c:val>
          <c:smooth val="0"/>
          <c:extLst>
            <c:ext xmlns:c16="http://schemas.microsoft.com/office/drawing/2014/chart" uri="{C3380CC4-5D6E-409C-BE32-E72D297353CC}">
              <c16:uniqueId val="{00000002-76B5-4214-8F9A-09C87A9B5CFA}"/>
            </c:ext>
          </c:extLst>
        </c:ser>
        <c:ser>
          <c:idx val="3"/>
          <c:order val="4"/>
          <c:tx>
            <c:strRef>
              <c:f>'25x'!$A$127</c:f>
              <c:strCache>
                <c:ptCount val="1"/>
                <c:pt idx="0">
                  <c:v>Domestico</c:v>
                </c:pt>
              </c:strCache>
            </c:strRef>
          </c:tx>
          <c:spPr>
            <a:ln w="28575" cap="rnd">
              <a:solidFill>
                <a:schemeClr val="accent4"/>
              </a:solidFill>
              <a:round/>
            </a:ln>
            <a:effectLst/>
          </c:spPr>
          <c:marker>
            <c:symbol val="none"/>
          </c:marker>
          <c:val>
            <c:numRef>
              <c:f>'25x'!$T$127:$Z$127</c:f>
              <c:numCache>
                <c:formatCode>0.00</c:formatCode>
                <c:ptCount val="7"/>
                <c:pt idx="0">
                  <c:v>9.9291417010349399</c:v>
                </c:pt>
                <c:pt idx="1">
                  <c:v>9.9482831298451515</c:v>
                </c:pt>
                <c:pt idx="2">
                  <c:v>10.503932869081646</c:v>
                </c:pt>
                <c:pt idx="3">
                  <c:v>10.755282811147231</c:v>
                </c:pt>
                <c:pt idx="4">
                  <c:v>11.307904166244484</c:v>
                </c:pt>
                <c:pt idx="5">
                  <c:v>11.804262974934442</c:v>
                </c:pt>
                <c:pt idx="6">
                  <c:v>11.425158129391223</c:v>
                </c:pt>
              </c:numCache>
            </c:numRef>
          </c:val>
          <c:smooth val="0"/>
          <c:extLst>
            <c:ext xmlns:c16="http://schemas.microsoft.com/office/drawing/2014/chart" uri="{C3380CC4-5D6E-409C-BE32-E72D297353CC}">
              <c16:uniqueId val="{00000003-76B5-4214-8F9A-09C87A9B5CFA}"/>
            </c:ext>
          </c:extLst>
        </c:ser>
        <c:dLbls>
          <c:showLegendKey val="0"/>
          <c:showVal val="0"/>
          <c:showCatName val="0"/>
          <c:showSerName val="0"/>
          <c:showPercent val="0"/>
          <c:showBubbleSize val="0"/>
        </c:dLbls>
        <c:marker val="1"/>
        <c:smooth val="0"/>
        <c:axId val="1118709791"/>
        <c:axId val="1307846863"/>
      </c:lineChart>
      <c:catAx>
        <c:axId val="96921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9410879"/>
        <c:crosses val="autoZero"/>
        <c:auto val="1"/>
        <c:lblAlgn val="ctr"/>
        <c:lblOffset val="100"/>
        <c:noMultiLvlLbl val="0"/>
      </c:catAx>
      <c:valAx>
        <c:axId val="969410879"/>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969214303"/>
        <c:crosses val="autoZero"/>
        <c:crossBetween val="between"/>
      </c:valAx>
      <c:valAx>
        <c:axId val="1307846863"/>
        <c:scaling>
          <c:orientation val="minMax"/>
          <c:min val="1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18709791"/>
        <c:crosses val="max"/>
        <c:crossBetween val="between"/>
      </c:valAx>
      <c:catAx>
        <c:axId val="1118709791"/>
        <c:scaling>
          <c:orientation val="minMax"/>
        </c:scaling>
        <c:delete val="1"/>
        <c:axPos val="b"/>
        <c:numFmt formatCode="General" sourceLinked="1"/>
        <c:majorTickMark val="out"/>
        <c:minorTickMark val="none"/>
        <c:tickLblPos val="nextTo"/>
        <c:crossAx val="1307846863"/>
        <c:crosses val="autoZero"/>
        <c:auto val="1"/>
        <c:lblAlgn val="ctr"/>
        <c:lblOffset val="100"/>
        <c:noMultiLvlLbl val="0"/>
      </c:catAx>
      <c:spPr>
        <a:noFill/>
        <a:ln>
          <a:noFill/>
        </a:ln>
        <a:effectLst/>
      </c:spPr>
    </c:plotArea>
    <c:legend>
      <c:legendPos val="b"/>
      <c:layout>
        <c:manualLayout>
          <c:xMode val="edge"/>
          <c:yMode val="edge"/>
          <c:x val="0"/>
          <c:y val="0.7656598675516193"/>
          <c:w val="1"/>
          <c:h val="0.206289641564790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7000070937079"/>
          <c:y val="4.656084656084656E-2"/>
          <c:w val="0.80257804880191908"/>
          <c:h val="0.65421392889043661"/>
        </c:manualLayout>
      </c:layout>
      <c:scatterChart>
        <c:scatterStyle val="smoothMarker"/>
        <c:varyColors val="0"/>
        <c:ser>
          <c:idx val="0"/>
          <c:order val="0"/>
          <c:tx>
            <c:strRef>
              <c:f>'25x'!$A$21</c:f>
              <c:strCache>
                <c:ptCount val="1"/>
                <c:pt idx="0">
                  <c:v>Agricoltura e Pesca</c:v>
                </c:pt>
              </c:strCache>
            </c:strRef>
          </c:tx>
          <c:spPr>
            <a:ln w="19050" cap="rnd">
              <a:solidFill>
                <a:schemeClr val="accent1"/>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'25x'!$P$21:$AC$21</c:f>
              <c:numCache>
                <c:formatCode>0.00%</c:formatCode>
                <c:ptCount val="14"/>
                <c:pt idx="0">
                  <c:v>1.8104653357702123E-2</c:v>
                </c:pt>
                <c:pt idx="1">
                  <c:v>1.8824953958694376E-2</c:v>
                </c:pt>
                <c:pt idx="2">
                  <c:v>1.9281511308526962E-2</c:v>
                </c:pt>
                <c:pt idx="3">
                  <c:v>1.9096380891876905E-2</c:v>
                </c:pt>
                <c:pt idx="4">
                  <c:v>1.8455447167435669E-2</c:v>
                </c:pt>
                <c:pt idx="5">
                  <c:v>1.9146253678732121E-2</c:v>
                </c:pt>
                <c:pt idx="6">
                  <c:v>1.8840382526328435E-2</c:v>
                </c:pt>
                <c:pt idx="7">
                  <c:v>1.9843613801215181E-2</c:v>
                </c:pt>
                <c:pt idx="8">
                  <c:v>1.9256664556528504E-2</c:v>
                </c:pt>
                <c:pt idx="9">
                  <c:v>2.0054088119500154E-2</c:v>
                </c:pt>
                <c:pt idx="10">
                  <c:v>2.2234593369965243E-2</c:v>
                </c:pt>
                <c:pt idx="11">
                  <c:v>2.2313352300194083E-2</c:v>
                </c:pt>
                <c:pt idx="12">
                  <c:v>2.236619089603303E-2</c:v>
                </c:pt>
                <c:pt idx="13">
                  <c:v>2.2039019992746052E-2</c:v>
                </c:pt>
              </c:numCache>
            </c:numRef>
          </c:yVal>
          <c:smooth val="1"/>
          <c:extLst>
            <c:ext xmlns:c16="http://schemas.microsoft.com/office/drawing/2014/chart" uri="{C3380CC4-5D6E-409C-BE32-E72D297353CC}">
              <c16:uniqueId val="{00000000-870F-487C-90C3-01D9FA0DB9ED}"/>
            </c:ext>
          </c:extLst>
        </c:ser>
        <c:ser>
          <c:idx val="3"/>
          <c:order val="3"/>
          <c:tx>
            <c:strRef>
              <c:f>'25x'!$A$24</c:f>
              <c:strCache>
                <c:ptCount val="1"/>
                <c:pt idx="0">
                  <c:v>di cui trasporti (+ magazzinaggio)</c:v>
                </c:pt>
              </c:strCache>
            </c:strRef>
          </c:tx>
          <c:spPr>
            <a:ln w="19050" cap="rnd">
              <a:solidFill>
                <a:schemeClr val="accent4"/>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'25x'!$P$24:$AC$24</c:f>
              <c:numCache>
                <c:formatCode>0.00%</c:formatCode>
                <c:ptCount val="14"/>
                <c:pt idx="0">
                  <c:v>3.4419268532505397E-2</c:v>
                </c:pt>
                <c:pt idx="1">
                  <c:v>3.4164088611477135E-2</c:v>
                </c:pt>
                <c:pt idx="2">
                  <c:v>3.5020896105145791E-2</c:v>
                </c:pt>
                <c:pt idx="3">
                  <c:v>3.6242119505266651E-2</c:v>
                </c:pt>
                <c:pt idx="4">
                  <c:v>3.594176091480588E-2</c:v>
                </c:pt>
                <c:pt idx="5">
                  <c:v>3.652859829431878E-2</c:v>
                </c:pt>
                <c:pt idx="6">
                  <c:v>3.7773824867560153E-2</c:v>
                </c:pt>
                <c:pt idx="7">
                  <c:v>3.7706642551057067E-2</c:v>
                </c:pt>
                <c:pt idx="8">
                  <c:v>3.8030207071746938E-2</c:v>
                </c:pt>
                <c:pt idx="9">
                  <c:v>3.8850074121001797E-2</c:v>
                </c:pt>
                <c:pt idx="10">
                  <c:v>3.5885058726738771E-2</c:v>
                </c:pt>
                <c:pt idx="11">
                  <c:v>3.63395432371462E-2</c:v>
                </c:pt>
                <c:pt idx="12">
                  <c:v>3.9227242674325785E-2</c:v>
                </c:pt>
                <c:pt idx="13">
                  <c:v>4.0935076828665089E-2</c:v>
                </c:pt>
              </c:numCache>
            </c:numRef>
          </c:yVal>
          <c:smooth val="1"/>
          <c:extLst>
            <c:ext xmlns:c16="http://schemas.microsoft.com/office/drawing/2014/chart" uri="{C3380CC4-5D6E-409C-BE32-E72D297353CC}">
              <c16:uniqueId val="{00000003-870F-487C-90C3-01D9FA0DB9ED}"/>
            </c:ext>
          </c:extLst>
        </c:ser>
        <c:dLbls>
          <c:showLegendKey val="0"/>
          <c:showVal val="0"/>
          <c:showCatName val="0"/>
          <c:showSerName val="0"/>
          <c:showPercent val="0"/>
          <c:showBubbleSize val="0"/>
        </c:dLbls>
        <c:axId val="1438863679"/>
        <c:axId val="1495566351"/>
      </c:scatterChart>
      <c:scatterChart>
        <c:scatterStyle val="smoothMarker"/>
        <c:varyColors val="0"/>
        <c:ser>
          <c:idx val="1"/>
          <c:order val="1"/>
          <c:tx>
            <c:strRef>
              <c:f>'25x'!$A$22</c:f>
              <c:strCache>
                <c:ptCount val="1"/>
                <c:pt idx="0">
                  <c:v>Industria</c:v>
                </c:pt>
              </c:strCache>
            </c:strRef>
          </c:tx>
          <c:spPr>
            <a:ln w="19050" cap="rnd">
              <a:solidFill>
                <a:schemeClr val="accent2"/>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'25x'!$P$22:$AC$22</c:f>
              <c:numCache>
                <c:formatCode>0.00%</c:formatCode>
                <c:ptCount val="14"/>
                <c:pt idx="0">
                  <c:v>0.44674893278130062</c:v>
                </c:pt>
                <c:pt idx="1">
                  <c:v>0.44629067587505955</c:v>
                </c:pt>
                <c:pt idx="2">
                  <c:v>0.42576119800720913</c:v>
                </c:pt>
                <c:pt idx="3">
                  <c:v>0.42003494021126675</c:v>
                </c:pt>
                <c:pt idx="4">
                  <c:v>0.42085675159559693</c:v>
                </c:pt>
                <c:pt idx="5">
                  <c:v>0.41174355199794788</c:v>
                </c:pt>
                <c:pt idx="6">
                  <c:v>0.41534456587633578</c:v>
                </c:pt>
                <c:pt idx="7">
                  <c:v>0.41580890841212859</c:v>
                </c:pt>
                <c:pt idx="8">
                  <c:v>0.41665815775520881</c:v>
                </c:pt>
                <c:pt idx="9">
                  <c:v>0.42723116806349026</c:v>
                </c:pt>
                <c:pt idx="10">
                  <c:v>0.44189955058673885</c:v>
                </c:pt>
                <c:pt idx="11">
                  <c:v>0.45115309784994956</c:v>
                </c:pt>
                <c:pt idx="12">
                  <c:v>0.43943871572771859</c:v>
                </c:pt>
                <c:pt idx="13">
                  <c:v>0.43318641347632986</c:v>
                </c:pt>
              </c:numCache>
            </c:numRef>
          </c:yVal>
          <c:smooth val="1"/>
          <c:extLst>
            <c:ext xmlns:c16="http://schemas.microsoft.com/office/drawing/2014/chart" uri="{C3380CC4-5D6E-409C-BE32-E72D297353CC}">
              <c16:uniqueId val="{00000001-870F-487C-90C3-01D9FA0DB9ED}"/>
            </c:ext>
          </c:extLst>
        </c:ser>
        <c:ser>
          <c:idx val="2"/>
          <c:order val="2"/>
          <c:tx>
            <c:strRef>
              <c:f>'25x'!$A$23</c:f>
              <c:strCache>
                <c:ptCount val="1"/>
                <c:pt idx="0">
                  <c:v>Servizi</c:v>
                </c:pt>
              </c:strCache>
            </c:strRef>
          </c:tx>
          <c:spPr>
            <a:ln w="19050" cap="rnd">
              <a:solidFill>
                <a:schemeClr val="accent3"/>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'25x'!$P$23:$AC$23</c:f>
              <c:numCache>
                <c:formatCode>0.00%</c:formatCode>
                <c:ptCount val="14"/>
                <c:pt idx="0">
                  <c:v>0.31071377577307274</c:v>
                </c:pt>
                <c:pt idx="1">
                  <c:v>0.31137531894864223</c:v>
                </c:pt>
                <c:pt idx="2">
                  <c:v>0.32888328924901589</c:v>
                </c:pt>
                <c:pt idx="3">
                  <c:v>0.33555655536110307</c:v>
                </c:pt>
                <c:pt idx="4">
                  <c:v>0.33994012301405285</c:v>
                </c:pt>
                <c:pt idx="5">
                  <c:v>0.34639008186708448</c:v>
                </c:pt>
                <c:pt idx="6">
                  <c:v>0.3482078314118377</c:v>
                </c:pt>
                <c:pt idx="7">
                  <c:v>0.34740501947777802</c:v>
                </c:pt>
                <c:pt idx="8">
                  <c:v>0.34942246531853671</c:v>
                </c:pt>
                <c:pt idx="9">
                  <c:v>0.33539471670005483</c:v>
                </c:pt>
                <c:pt idx="10">
                  <c:v>0.3025736880955695</c:v>
                </c:pt>
                <c:pt idx="11">
                  <c:v>0.30368499733310561</c:v>
                </c:pt>
                <c:pt idx="12">
                  <c:v>0.32007464779925232</c:v>
                </c:pt>
                <c:pt idx="13">
                  <c:v>0.32477367149413955</c:v>
                </c:pt>
              </c:numCache>
            </c:numRef>
          </c:yVal>
          <c:smooth val="1"/>
          <c:extLst>
            <c:ext xmlns:c16="http://schemas.microsoft.com/office/drawing/2014/chart" uri="{C3380CC4-5D6E-409C-BE32-E72D297353CC}">
              <c16:uniqueId val="{00000002-870F-487C-90C3-01D9FA0DB9ED}"/>
            </c:ext>
          </c:extLst>
        </c:ser>
        <c:ser>
          <c:idx val="4"/>
          <c:order val="4"/>
          <c:tx>
            <c:strRef>
              <c:f>'25x'!$A$25</c:f>
              <c:strCache>
                <c:ptCount val="1"/>
                <c:pt idx="0">
                  <c:v>Domestico</c:v>
                </c:pt>
              </c:strCache>
            </c:strRef>
          </c:tx>
          <c:spPr>
            <a:ln w="19050" cap="rnd">
              <a:solidFill>
                <a:schemeClr val="accent5"/>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'25x'!$P$25:$AC$25</c:f>
              <c:numCache>
                <c:formatCode>0.00%</c:formatCode>
                <c:ptCount val="14"/>
                <c:pt idx="0">
                  <c:v>0.22444213203480409</c:v>
                </c:pt>
                <c:pt idx="1">
                  <c:v>0.22352967676390839</c:v>
                </c:pt>
                <c:pt idx="2">
                  <c:v>0.22608349962047303</c:v>
                </c:pt>
                <c:pt idx="3">
                  <c:v>0.22531516100769211</c:v>
                </c:pt>
                <c:pt idx="4">
                  <c:v>0.22074323965368825</c:v>
                </c:pt>
                <c:pt idx="5">
                  <c:v>0.2227172421501866</c:v>
                </c:pt>
                <c:pt idx="6">
                  <c:v>0.21760497998195399</c:v>
                </c:pt>
                <c:pt idx="7">
                  <c:v>0.21694246767682343</c:v>
                </c:pt>
                <c:pt idx="8">
                  <c:v>0.21466239360468267</c:v>
                </c:pt>
                <c:pt idx="9">
                  <c:v>0.21731999398284582</c:v>
                </c:pt>
                <c:pt idx="10">
                  <c:v>0.23329181560491097</c:v>
                </c:pt>
                <c:pt idx="11">
                  <c:v>0.22284866533182116</c:v>
                </c:pt>
                <c:pt idx="12">
                  <c:v>0.21809221265973383</c:v>
                </c:pt>
                <c:pt idx="13">
                  <c:v>0.22000080934148961</c:v>
                </c:pt>
              </c:numCache>
            </c:numRef>
          </c:yVal>
          <c:smooth val="1"/>
          <c:extLst>
            <c:ext xmlns:c16="http://schemas.microsoft.com/office/drawing/2014/chart" uri="{C3380CC4-5D6E-409C-BE32-E72D297353CC}">
              <c16:uniqueId val="{00000004-870F-487C-90C3-01D9FA0DB9ED}"/>
            </c:ext>
          </c:extLst>
        </c:ser>
        <c:dLbls>
          <c:showLegendKey val="0"/>
          <c:showVal val="0"/>
          <c:showCatName val="0"/>
          <c:showSerName val="0"/>
          <c:showPercent val="0"/>
          <c:showBubbleSize val="0"/>
        </c:dLbls>
        <c:axId val="1495508111"/>
        <c:axId val="1495511439"/>
      </c:scatterChart>
      <c:valAx>
        <c:axId val="1438863679"/>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66351"/>
        <c:crosses val="autoZero"/>
        <c:crossBetween val="midCat"/>
        <c:majorUnit val="1"/>
      </c:valAx>
      <c:valAx>
        <c:axId val="1495566351"/>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38863679"/>
        <c:crosses val="autoZero"/>
        <c:crossBetween val="midCat"/>
      </c:valAx>
      <c:valAx>
        <c:axId val="1495511439"/>
        <c:scaling>
          <c:orientation val="minMax"/>
          <c:min val="0.1"/>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08111"/>
        <c:crosses val="max"/>
        <c:crossBetween val="midCat"/>
      </c:valAx>
      <c:valAx>
        <c:axId val="1495508111"/>
        <c:scaling>
          <c:orientation val="minMax"/>
        </c:scaling>
        <c:delete val="1"/>
        <c:axPos val="b"/>
        <c:numFmt formatCode="General" sourceLinked="1"/>
        <c:majorTickMark val="out"/>
        <c:minorTickMark val="none"/>
        <c:tickLblPos val="nextTo"/>
        <c:crossAx val="1495511439"/>
        <c:crosses val="autoZero"/>
        <c:crossBetween val="midCat"/>
      </c:valAx>
      <c:spPr>
        <a:noFill/>
        <a:ln>
          <a:noFill/>
        </a:ln>
        <a:effectLst/>
      </c:spPr>
    </c:plotArea>
    <c:legend>
      <c:legendPos val="b"/>
      <c:layout>
        <c:manualLayout>
          <c:xMode val="edge"/>
          <c:yMode val="edge"/>
          <c:x val="0"/>
          <c:y val="0.81428321459817543"/>
          <c:w val="1"/>
          <c:h val="0.160319960004999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'25x'!$A$5</c:f>
              <c:strCache>
                <c:ptCount val="1"/>
                <c:pt idx="0">
                  <c:v>Agricoltura e Pesca</c:v>
                </c:pt>
              </c:strCache>
            </c:strRef>
          </c:tx>
          <c:spPr>
            <a:solidFill>
              <a:schemeClr val="accent1"/>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'25x'!$L$5:$AA$5</c:f>
              <c:numCache>
                <c:formatCode>_(* #,##0.0_);_(* \(#,##0.0\);_(* "-"??_);_(@_)</c:formatCode>
                <c:ptCount val="16"/>
                <c:pt idx="0">
                  <c:v>5.5034999999999998</c:v>
                </c:pt>
                <c:pt idx="1">
                  <c:v>5.6592000000000002</c:v>
                </c:pt>
                <c:pt idx="2">
                  <c:v>5.6695000000000002</c:v>
                </c:pt>
                <c:pt idx="3">
                  <c:v>5.6498999999999997</c:v>
                </c:pt>
                <c:pt idx="4">
                  <c:v>5.6103000000000005</c:v>
                </c:pt>
                <c:pt idx="5">
                  <c:v>5.907</c:v>
                </c:pt>
                <c:pt idx="6">
                  <c:v>5.9236000000000004</c:v>
                </c:pt>
                <c:pt idx="7">
                  <c:v>5.6771000000000003</c:v>
                </c:pt>
                <c:pt idx="8">
                  <c:v>5.3721000000000005</c:v>
                </c:pt>
                <c:pt idx="9">
                  <c:v>5.6898999999999997</c:v>
                </c:pt>
                <c:pt idx="10">
                  <c:v>5.5674999999999999</c:v>
                </c:pt>
                <c:pt idx="11">
                  <c:v>5.9904000000000002</c:v>
                </c:pt>
                <c:pt idx="12">
                  <c:v>5.8433000000000002</c:v>
                </c:pt>
                <c:pt idx="13">
                  <c:v>6.0523999999999996</c:v>
                </c:pt>
                <c:pt idx="14">
                  <c:v>6.3105000000000002</c:v>
                </c:pt>
                <c:pt idx="15">
                  <c:v>6.7138</c:v>
                </c:pt>
              </c:numCache>
            </c:numRef>
          </c:val>
          <c:extLst>
            <c:ext xmlns:c16="http://schemas.microsoft.com/office/drawing/2014/chart" uri="{C3380CC4-5D6E-409C-BE32-E72D297353CC}">
              <c16:uniqueId val="{00000000-F136-4C3F-A3EF-E58AEE5C034B}"/>
            </c:ext>
          </c:extLst>
        </c:ser>
        <c:ser>
          <c:idx val="1"/>
          <c:order val="1"/>
          <c:tx>
            <c:strRef>
              <c:f>'25x'!$A$6</c:f>
              <c:strCache>
                <c:ptCount val="1"/>
                <c:pt idx="0">
                  <c:v>Industria</c:v>
                </c:pt>
              </c:strCache>
            </c:strRef>
          </c:tx>
          <c:spPr>
            <a:solidFill>
              <a:schemeClr val="accent2"/>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'25x'!$L$6:$AA$6</c:f>
              <c:numCache>
                <c:formatCode>_(* #,##0.0_);_(* \(#,##0.0\);_(* "-"??_);_(@_)</c:formatCode>
                <c:ptCount val="16"/>
                <c:pt idx="0">
                  <c:v>156.1506</c:v>
                </c:pt>
                <c:pt idx="1">
                  <c:v>155.80429999999998</c:v>
                </c:pt>
                <c:pt idx="2">
                  <c:v>151.36660000000001</c:v>
                </c:pt>
                <c:pt idx="3">
                  <c:v>130.5059</c:v>
                </c:pt>
                <c:pt idx="4">
                  <c:v>138.43929999999997</c:v>
                </c:pt>
                <c:pt idx="5">
                  <c:v>140.03960000000001</c:v>
                </c:pt>
                <c:pt idx="6">
                  <c:v>130.80089999999998</c:v>
                </c:pt>
                <c:pt idx="7">
                  <c:v>124.8708</c:v>
                </c:pt>
                <c:pt idx="8">
                  <c:v>122.505</c:v>
                </c:pt>
                <c:pt idx="9">
                  <c:v>122.3623</c:v>
                </c:pt>
                <c:pt idx="10">
                  <c:v>122.738</c:v>
                </c:pt>
                <c:pt idx="11">
                  <c:v>125.52460000000001</c:v>
                </c:pt>
                <c:pt idx="12">
                  <c:v>126.432</c:v>
                </c:pt>
                <c:pt idx="13">
                  <c:v>128.93998999999999</c:v>
                </c:pt>
                <c:pt idx="14">
                  <c:v>125.4175</c:v>
                </c:pt>
                <c:pt idx="15">
                  <c:v>135.74615</c:v>
                </c:pt>
              </c:numCache>
            </c:numRef>
          </c:val>
          <c:extLst>
            <c:ext xmlns:c16="http://schemas.microsoft.com/office/drawing/2014/chart" uri="{C3380CC4-5D6E-409C-BE32-E72D297353CC}">
              <c16:uniqueId val="{00000001-F136-4C3F-A3EF-E58AEE5C034B}"/>
            </c:ext>
          </c:extLst>
        </c:ser>
        <c:ser>
          <c:idx val="2"/>
          <c:order val="2"/>
          <c:tx>
            <c:strRef>
              <c:f>'25x'!$A$7</c:f>
              <c:strCache>
                <c:ptCount val="1"/>
                <c:pt idx="0">
                  <c:v>Servizi</c:v>
                </c:pt>
              </c:strCache>
            </c:strRef>
          </c:tx>
          <c:spPr>
            <a:solidFill>
              <a:schemeClr val="accent3"/>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'25x'!$L$7:$AA$7</c:f>
              <c:numCache>
                <c:formatCode>_(* #,##0.0_);_(* \(#,##0.0\);_(* "-"??_);_(@_)</c:formatCode>
                <c:ptCount val="16"/>
                <c:pt idx="0">
                  <c:v>88.276499999999999</c:v>
                </c:pt>
                <c:pt idx="1">
                  <c:v>90.268500000000003</c:v>
                </c:pt>
                <c:pt idx="2">
                  <c:v>93.612200000000001</c:v>
                </c:pt>
                <c:pt idx="3">
                  <c:v>94.83489999999999</c:v>
                </c:pt>
                <c:pt idx="4">
                  <c:v>96.284499999999994</c:v>
                </c:pt>
                <c:pt idx="5">
                  <c:v>97.705100000000002</c:v>
                </c:pt>
                <c:pt idx="6">
                  <c:v>101.0384</c:v>
                </c:pt>
                <c:pt idx="7">
                  <c:v>99.756500000000003</c:v>
                </c:pt>
                <c:pt idx="8">
                  <c:v>98.951399999999992</c:v>
                </c:pt>
                <c:pt idx="9">
                  <c:v>102.9405</c:v>
                </c:pt>
                <c:pt idx="10">
                  <c:v>102.8985</c:v>
                </c:pt>
                <c:pt idx="11">
                  <c:v>104.87479999999999</c:v>
                </c:pt>
                <c:pt idx="12">
                  <c:v>106.02979999999999</c:v>
                </c:pt>
                <c:pt idx="13">
                  <c:v>101.2234</c:v>
                </c:pt>
                <c:pt idx="14">
                  <c:v>85.874800000000008</c:v>
                </c:pt>
                <c:pt idx="15">
                  <c:v>91.374899999999997</c:v>
                </c:pt>
              </c:numCache>
            </c:numRef>
          </c:val>
          <c:extLst>
            <c:ext xmlns:c16="http://schemas.microsoft.com/office/drawing/2014/chart" uri="{C3380CC4-5D6E-409C-BE32-E72D297353CC}">
              <c16:uniqueId val="{00000002-F136-4C3F-A3EF-E58AEE5C034B}"/>
            </c:ext>
          </c:extLst>
        </c:ser>
        <c:ser>
          <c:idx val="3"/>
          <c:order val="3"/>
          <c:tx>
            <c:strRef>
              <c:f>'25x'!$A$8</c:f>
              <c:strCache>
                <c:ptCount val="1"/>
                <c:pt idx="0">
                  <c:v>di cui trasporti (+ magazzinaggio)</c:v>
                </c:pt>
              </c:strCache>
            </c:strRef>
          </c:tx>
          <c:spPr>
            <a:solidFill>
              <a:schemeClr val="accent4"/>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'25x'!$L$8:$AA$8</c:f>
              <c:numCache>
                <c:formatCode>_(* #,##0.0_);_(* \(#,##0.0\);_(* "-"??_);_(@_)</c:formatCode>
                <c:ptCount val="16"/>
                <c:pt idx="0">
                  <c:v>10.219299999999999</c:v>
                </c:pt>
                <c:pt idx="1">
                  <c:v>10.4039</c:v>
                </c:pt>
                <c:pt idx="2">
                  <c:v>10.8391</c:v>
                </c:pt>
                <c:pt idx="3">
                  <c:v>10.5349</c:v>
                </c:pt>
                <c:pt idx="4">
                  <c:v>10.665899999999999</c:v>
                </c:pt>
                <c:pt idx="5">
                  <c:v>10.7202</c:v>
                </c:pt>
                <c:pt idx="6">
                  <c:v>10.759</c:v>
                </c:pt>
                <c:pt idx="7">
                  <c:v>10.774299999999998</c:v>
                </c:pt>
                <c:pt idx="8">
                  <c:v>10.4621</c:v>
                </c:pt>
                <c:pt idx="9">
                  <c:v>10.855600000000001</c:v>
                </c:pt>
                <c:pt idx="10">
                  <c:v>11.1625</c:v>
                </c:pt>
                <c:pt idx="11">
                  <c:v>11.382899999999999</c:v>
                </c:pt>
                <c:pt idx="12">
                  <c:v>11.54</c:v>
                </c:pt>
                <c:pt idx="13">
                  <c:v>11.725100000000001</c:v>
                </c:pt>
                <c:pt idx="14">
                  <c:v>10.184700000000001</c:v>
                </c:pt>
                <c:pt idx="15">
                  <c:v>10.934100000000001</c:v>
                </c:pt>
              </c:numCache>
            </c:numRef>
          </c:val>
          <c:extLst>
            <c:ext xmlns:c16="http://schemas.microsoft.com/office/drawing/2014/chart" uri="{C3380CC4-5D6E-409C-BE32-E72D297353CC}">
              <c16:uniqueId val="{00000003-F136-4C3F-A3EF-E58AEE5C034B}"/>
            </c:ext>
          </c:extLst>
        </c:ser>
        <c:ser>
          <c:idx val="4"/>
          <c:order val="4"/>
          <c:tx>
            <c:strRef>
              <c:f>'25x'!$A$9</c:f>
              <c:strCache>
                <c:ptCount val="1"/>
                <c:pt idx="0">
                  <c:v>Domestico</c:v>
                </c:pt>
              </c:strCache>
            </c:strRef>
          </c:tx>
          <c:spPr>
            <a:solidFill>
              <a:schemeClr val="accent5"/>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'25x'!$L$9:$AA$9</c:f>
              <c:numCache>
                <c:formatCode>_(* #,##0.0_);_(* \(#,##0.0\);_(* "-"??_);_(@_)</c:formatCode>
                <c:ptCount val="16"/>
                <c:pt idx="0">
                  <c:v>67.60260000000001</c:v>
                </c:pt>
                <c:pt idx="1">
                  <c:v>67.220399999999998</c:v>
                </c:pt>
                <c:pt idx="2">
                  <c:v>68.388899999999992</c:v>
                </c:pt>
                <c:pt idx="3">
                  <c:v>68.924399999999991</c:v>
                </c:pt>
                <c:pt idx="4">
                  <c:v>69.5505</c:v>
                </c:pt>
                <c:pt idx="5">
                  <c:v>70.1404</c:v>
                </c:pt>
                <c:pt idx="6">
                  <c:v>69.456600000000009</c:v>
                </c:pt>
                <c:pt idx="7">
                  <c:v>66.983199999999997</c:v>
                </c:pt>
                <c:pt idx="8">
                  <c:v>64.254999999999995</c:v>
                </c:pt>
                <c:pt idx="9">
                  <c:v>66.187300000000008</c:v>
                </c:pt>
                <c:pt idx="10">
                  <c:v>64.304199999999994</c:v>
                </c:pt>
                <c:pt idx="11">
                  <c:v>65.490700000000004</c:v>
                </c:pt>
                <c:pt idx="12">
                  <c:v>65.137799999999999</c:v>
                </c:pt>
                <c:pt idx="13">
                  <c:v>65.587999999999994</c:v>
                </c:pt>
                <c:pt idx="14">
                  <c:v>66.211600000000004</c:v>
                </c:pt>
                <c:pt idx="15">
                  <c:v>67.052289999999999</c:v>
                </c:pt>
              </c:numCache>
            </c:numRef>
          </c:val>
          <c:extLst>
            <c:ext xmlns:c16="http://schemas.microsoft.com/office/drawing/2014/chart" uri="{C3380CC4-5D6E-409C-BE32-E72D297353CC}">
              <c16:uniqueId val="{00000004-F136-4C3F-A3EF-E58AEE5C034B}"/>
            </c:ext>
          </c:extLst>
        </c:ser>
        <c:dLbls>
          <c:showLegendKey val="0"/>
          <c:showVal val="0"/>
          <c:showCatName val="0"/>
          <c:showSerName val="0"/>
          <c:showPercent val="0"/>
          <c:showBubbleSize val="0"/>
        </c:dLbls>
        <c:gapWidth val="150"/>
        <c:overlap val="100"/>
        <c:axId val="1641191872"/>
        <c:axId val="1842665840"/>
      </c:barChart>
      <c:catAx>
        <c:axId val="16411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42665840"/>
        <c:crosses val="autoZero"/>
        <c:auto val="1"/>
        <c:lblAlgn val="ctr"/>
        <c:lblOffset val="100"/>
        <c:noMultiLvlLbl val="0"/>
      </c:catAx>
      <c:valAx>
        <c:axId val="18426658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411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83333333333333"/>
          <c:y val="0"/>
          <c:w val="0.59722222222222221"/>
          <c:h val="0.99537037037037035"/>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70EA-44AA-941E-E25BD7A4CA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0F-4F09-B8B9-E48060236B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70EA-44AA-941E-E25BD7A4CA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70EA-44AA-941E-E25BD7A4CA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0F-4F09-B8B9-E48060236BD8}"/>
              </c:ext>
            </c:extLst>
          </c:dPt>
          <c:dLbls>
            <c:dLbl>
              <c:idx val="0"/>
              <c:layout>
                <c:manualLayout>
                  <c:x val="-1.2145341207349133E-2"/>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EA-44AA-941E-E25BD7A4CA32}"/>
                </c:ext>
              </c:extLst>
            </c:dLbl>
            <c:dLbl>
              <c:idx val="2"/>
              <c:layout>
                <c:manualLayout>
                  <c:x val="0.14444444444444443"/>
                  <c:y val="-0.19675925925925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extLst>
                <c:ext xmlns:c15="http://schemas.microsoft.com/office/drawing/2012/chart" uri="{CE6537A1-D6FC-4f65-9D91-7224C49458BB}">
                  <c15:layout>
                    <c:manualLayout>
                      <c:w val="0.1875"/>
                      <c:h val="0.20370370370370369"/>
                    </c:manualLayout>
                  </c15:layout>
                </c:ext>
                <c:ext xmlns:c16="http://schemas.microsoft.com/office/drawing/2014/chart" uri="{C3380CC4-5D6E-409C-BE32-E72D297353CC}">
                  <c16:uniqueId val="{00000001-70EA-44AA-941E-E25BD7A4CA32}"/>
                </c:ext>
              </c:extLst>
            </c:dLbl>
            <c:dLbl>
              <c:idx val="3"/>
              <c:layout>
                <c:manualLayout>
                  <c:x val="2.7777777777777779E-3"/>
                  <c:y val="1.3212306794983961E-2"/>
                </c:manualLayout>
              </c:layout>
              <c:showLegendKey val="0"/>
              <c:showVal val="0"/>
              <c:showCatName val="1"/>
              <c:showSerName val="0"/>
              <c:showPercent val="1"/>
              <c:showBubbleSize val="0"/>
              <c:extLst>
                <c:ext xmlns:c15="http://schemas.microsoft.com/office/drawing/2012/chart" uri="{CE6537A1-D6FC-4f65-9D91-7224C49458BB}">
                  <c15:layout>
                    <c:manualLayout>
                      <c:w val="0.28055555555555556"/>
                      <c:h val="0.18402777777777779"/>
                    </c:manualLayout>
                  </c15:layout>
                </c:ext>
                <c:ext xmlns:c16="http://schemas.microsoft.com/office/drawing/2014/chart" uri="{C3380CC4-5D6E-409C-BE32-E72D297353CC}">
                  <c16:uniqueId val="{00000002-70EA-44AA-941E-E25BD7A4CA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'25x'!$A$159:$A$163</c:f>
              <c:strCache>
                <c:ptCount val="5"/>
                <c:pt idx="0">
                  <c:v>Agricoltura e Pesca</c:v>
                </c:pt>
                <c:pt idx="1">
                  <c:v>Industria</c:v>
                </c:pt>
                <c:pt idx="2">
                  <c:v>Servizi (senza trasporti)</c:v>
                </c:pt>
                <c:pt idx="3">
                  <c:v>Trasporti (+magazzinaggio)</c:v>
                </c:pt>
                <c:pt idx="4">
                  <c:v>Domestico</c:v>
                </c:pt>
              </c:strCache>
            </c:strRef>
          </c:cat>
          <c:val>
            <c:numRef>
              <c:f>'25x'!$Z$159:$Z$163</c:f>
              <c:numCache>
                <c:formatCode>0.0</c:formatCode>
                <c:ptCount val="5"/>
                <c:pt idx="0">
                  <c:v>6.3105000000000002</c:v>
                </c:pt>
                <c:pt idx="1">
                  <c:v>125.4175</c:v>
                </c:pt>
                <c:pt idx="2">
                  <c:v>75.690100000000001</c:v>
                </c:pt>
                <c:pt idx="3">
                  <c:v>10.184700000000001</c:v>
                </c:pt>
                <c:pt idx="4">
                  <c:v>66.211600000000004</c:v>
                </c:pt>
              </c:numCache>
            </c:numRef>
          </c:val>
          <c:extLst>
            <c:ext xmlns:c16="http://schemas.microsoft.com/office/drawing/2014/chart" uri="{C3380CC4-5D6E-409C-BE32-E72D297353CC}">
              <c16:uniqueId val="{00000000-70EA-44AA-941E-E25BD7A4CA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07776587118882"/>
          <c:y val="4.9326481558226276E-2"/>
          <c:w val="0.75747568543244681"/>
          <c:h val="0.62995573974305841"/>
        </c:manualLayout>
      </c:layout>
      <c:barChart>
        <c:barDir val="col"/>
        <c:grouping val="stacked"/>
        <c:varyColors val="0"/>
        <c:ser>
          <c:idx val="0"/>
          <c:order val="0"/>
          <c:tx>
            <c:strRef>
              <c:f>'25x'!$A$159</c:f>
              <c:strCache>
                <c:ptCount val="1"/>
                <c:pt idx="0">
                  <c:v>Agricoltura e Pesca</c:v>
                </c:pt>
              </c:strCache>
            </c:strRef>
          </c:tx>
          <c:spPr>
            <a:solidFill>
              <a:schemeClr val="accent1"/>
            </a:solidFill>
            <a:ln>
              <a:noFill/>
            </a:ln>
            <a:effectLst/>
          </c:spPr>
          <c:invertIfNegative val="0"/>
          <c:cat>
            <c:numRef>
              <c:f>'25x'!$K$158:$Z$158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'25x'!$K$159:$Z$159</c:f>
              <c:numCache>
                <c:formatCode>0.0</c:formatCode>
                <c:ptCount val="16"/>
                <c:pt idx="0">
                  <c:v>5.3643999999999998</c:v>
                </c:pt>
                <c:pt idx="1">
                  <c:v>5.5034999999999998</c:v>
                </c:pt>
                <c:pt idx="2">
                  <c:v>5.6592000000000002</c:v>
                </c:pt>
                <c:pt idx="3">
                  <c:v>5.6695000000000002</c:v>
                </c:pt>
                <c:pt idx="4">
                  <c:v>5.6498999999999997</c:v>
                </c:pt>
                <c:pt idx="5">
                  <c:v>5.6103000000000005</c:v>
                </c:pt>
                <c:pt idx="6">
                  <c:v>5.907</c:v>
                </c:pt>
                <c:pt idx="7">
                  <c:v>5.9236000000000004</c:v>
                </c:pt>
                <c:pt idx="8">
                  <c:v>5.6771000000000003</c:v>
                </c:pt>
                <c:pt idx="9">
                  <c:v>5.3721000000000005</c:v>
                </c:pt>
                <c:pt idx="10">
                  <c:v>5.6898999999999997</c:v>
                </c:pt>
                <c:pt idx="11">
                  <c:v>5.5674999999999999</c:v>
                </c:pt>
                <c:pt idx="12">
                  <c:v>5.9904000000000002</c:v>
                </c:pt>
                <c:pt idx="13">
                  <c:v>5.8433000000000002</c:v>
                </c:pt>
                <c:pt idx="14">
                  <c:v>6.0523999999999996</c:v>
                </c:pt>
                <c:pt idx="15">
                  <c:v>6.3105000000000002</c:v>
                </c:pt>
              </c:numCache>
            </c:numRef>
          </c:val>
          <c:extLst>
            <c:ext xmlns:c16="http://schemas.microsoft.com/office/drawing/2014/chart" uri="{C3380CC4-5D6E-409C-BE32-E72D297353CC}">
              <c16:uniqueId val="{00000000-87F5-4541-AB76-EC257C245FEC}"/>
            </c:ext>
          </c:extLst>
        </c:ser>
        <c:ser>
          <c:idx val="1"/>
          <c:order val="1"/>
          <c:tx>
            <c:strRef>
              <c:f>'25x'!$A$160</c:f>
              <c:strCache>
                <c:ptCount val="1"/>
                <c:pt idx="0">
                  <c:v>Industria</c:v>
                </c:pt>
              </c:strCache>
            </c:strRef>
          </c:tx>
          <c:spPr>
            <a:solidFill>
              <a:schemeClr val="accent2"/>
            </a:solidFill>
            <a:ln>
              <a:noFill/>
            </a:ln>
            <a:effectLst/>
          </c:spPr>
          <c:invertIfNegative val="0"/>
          <c:cat>
            <c:numRef>
              <c:f>'25x'!$K$158:$Z$158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'25x'!$K$160:$Z$160</c:f>
              <c:numCache>
                <c:formatCode>0.0</c:formatCode>
                <c:ptCount val="16"/>
                <c:pt idx="0">
                  <c:v>153.7268</c:v>
                </c:pt>
                <c:pt idx="1">
                  <c:v>156.1506</c:v>
                </c:pt>
                <c:pt idx="2">
                  <c:v>155.80429999999998</c:v>
                </c:pt>
                <c:pt idx="3">
                  <c:v>151.36660000000001</c:v>
                </c:pt>
                <c:pt idx="4">
                  <c:v>130.5059</c:v>
                </c:pt>
                <c:pt idx="5">
                  <c:v>138.43929999999997</c:v>
                </c:pt>
                <c:pt idx="6">
                  <c:v>140.03960000000001</c:v>
                </c:pt>
                <c:pt idx="7">
                  <c:v>130.80089999999998</c:v>
                </c:pt>
                <c:pt idx="8">
                  <c:v>124.8708</c:v>
                </c:pt>
                <c:pt idx="9">
                  <c:v>122.505</c:v>
                </c:pt>
                <c:pt idx="10">
                  <c:v>122.3623</c:v>
                </c:pt>
                <c:pt idx="11">
                  <c:v>122.738</c:v>
                </c:pt>
                <c:pt idx="12">
                  <c:v>125.52460000000001</c:v>
                </c:pt>
                <c:pt idx="13">
                  <c:v>126.432</c:v>
                </c:pt>
                <c:pt idx="14">
                  <c:v>128.93998999999999</c:v>
                </c:pt>
                <c:pt idx="15">
                  <c:v>125.4175</c:v>
                </c:pt>
              </c:numCache>
            </c:numRef>
          </c:val>
          <c:extLst>
            <c:ext xmlns:c16="http://schemas.microsoft.com/office/drawing/2014/chart" uri="{C3380CC4-5D6E-409C-BE32-E72D297353CC}">
              <c16:uniqueId val="{00000001-87F5-4541-AB76-EC257C245FEC}"/>
            </c:ext>
          </c:extLst>
        </c:ser>
        <c:ser>
          <c:idx val="2"/>
          <c:order val="2"/>
          <c:tx>
            <c:strRef>
              <c:f>'25x'!$A$161</c:f>
              <c:strCache>
                <c:ptCount val="1"/>
                <c:pt idx="0">
                  <c:v>Servizi (senza trasporti)</c:v>
                </c:pt>
              </c:strCache>
            </c:strRef>
          </c:tx>
          <c:spPr>
            <a:solidFill>
              <a:schemeClr val="accent3"/>
            </a:solidFill>
            <a:ln>
              <a:noFill/>
            </a:ln>
            <a:effectLst/>
          </c:spPr>
          <c:invertIfNegative val="0"/>
          <c:cat>
            <c:numRef>
              <c:f>'25x'!$K$158:$Z$158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'25x'!$K$161:$Z$161</c:f>
              <c:numCache>
                <c:formatCode>0.0</c:formatCode>
                <c:ptCount val="16"/>
                <c:pt idx="0">
                  <c:v>73.875</c:v>
                </c:pt>
                <c:pt idx="1">
                  <c:v>78.057199999999995</c:v>
                </c:pt>
                <c:pt idx="2">
                  <c:v>79.864599999999996</c:v>
                </c:pt>
                <c:pt idx="3">
                  <c:v>82.773099999999999</c:v>
                </c:pt>
                <c:pt idx="4">
                  <c:v>84.299999999999983</c:v>
                </c:pt>
                <c:pt idx="5">
                  <c:v>85.618600000000001</c:v>
                </c:pt>
                <c:pt idx="6">
                  <c:v>86.984899999999996</c:v>
                </c:pt>
                <c:pt idx="7">
                  <c:v>90.279399999999995</c:v>
                </c:pt>
                <c:pt idx="8">
                  <c:v>88.982200000000006</c:v>
                </c:pt>
                <c:pt idx="9">
                  <c:v>88.489299999999986</c:v>
                </c:pt>
                <c:pt idx="10">
                  <c:v>92.084900000000005</c:v>
                </c:pt>
                <c:pt idx="11">
                  <c:v>91.736000000000004</c:v>
                </c:pt>
                <c:pt idx="12">
                  <c:v>93.491899999999987</c:v>
                </c:pt>
                <c:pt idx="13">
                  <c:v>94.489800000000002</c:v>
                </c:pt>
                <c:pt idx="14">
                  <c:v>89.4983</c:v>
                </c:pt>
                <c:pt idx="15">
                  <c:v>75.690100000000001</c:v>
                </c:pt>
              </c:numCache>
            </c:numRef>
          </c:val>
          <c:extLst>
            <c:ext xmlns:c16="http://schemas.microsoft.com/office/drawing/2014/chart" uri="{C3380CC4-5D6E-409C-BE32-E72D297353CC}">
              <c16:uniqueId val="{00000002-87F5-4541-AB76-EC257C245FEC}"/>
            </c:ext>
          </c:extLst>
        </c:ser>
        <c:ser>
          <c:idx val="3"/>
          <c:order val="3"/>
          <c:tx>
            <c:strRef>
              <c:f>'25x'!$A$162</c:f>
              <c:strCache>
                <c:ptCount val="1"/>
                <c:pt idx="0">
                  <c:v>Trasporti (+magazzinaggio)</c:v>
                </c:pt>
              </c:strCache>
            </c:strRef>
          </c:tx>
          <c:spPr>
            <a:solidFill>
              <a:schemeClr val="accent4"/>
            </a:solidFill>
            <a:ln>
              <a:noFill/>
            </a:ln>
            <a:effectLst/>
          </c:spPr>
          <c:invertIfNegative val="0"/>
          <c:cat>
            <c:numRef>
              <c:f>'25x'!$K$158:$Z$158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'25x'!$K$162:$Z$162</c:f>
              <c:numCache>
                <c:formatCode>0.0</c:formatCode>
                <c:ptCount val="16"/>
                <c:pt idx="0">
                  <c:v>9.9179999999999993</c:v>
                </c:pt>
                <c:pt idx="1">
                  <c:v>10.219299999999999</c:v>
                </c:pt>
                <c:pt idx="2">
                  <c:v>10.4039</c:v>
                </c:pt>
                <c:pt idx="3">
                  <c:v>10.8391</c:v>
                </c:pt>
                <c:pt idx="4">
                  <c:v>10.5349</c:v>
                </c:pt>
                <c:pt idx="5">
                  <c:v>10.665899999999999</c:v>
                </c:pt>
                <c:pt idx="6">
                  <c:v>10.7202</c:v>
                </c:pt>
                <c:pt idx="7">
                  <c:v>10.759</c:v>
                </c:pt>
                <c:pt idx="8">
                  <c:v>10.774299999999998</c:v>
                </c:pt>
                <c:pt idx="9">
                  <c:v>10.4621</c:v>
                </c:pt>
                <c:pt idx="10">
                  <c:v>10.855600000000001</c:v>
                </c:pt>
                <c:pt idx="11">
                  <c:v>11.1625</c:v>
                </c:pt>
                <c:pt idx="12">
                  <c:v>11.382899999999999</c:v>
                </c:pt>
                <c:pt idx="13">
                  <c:v>11.54</c:v>
                </c:pt>
                <c:pt idx="14">
                  <c:v>11.725100000000001</c:v>
                </c:pt>
                <c:pt idx="15">
                  <c:v>10.184700000000001</c:v>
                </c:pt>
              </c:numCache>
            </c:numRef>
          </c:val>
          <c:extLst>
            <c:ext xmlns:c16="http://schemas.microsoft.com/office/drawing/2014/chart" uri="{C3380CC4-5D6E-409C-BE32-E72D297353CC}">
              <c16:uniqueId val="{00000003-87F5-4541-AB76-EC257C245FEC}"/>
            </c:ext>
          </c:extLst>
        </c:ser>
        <c:ser>
          <c:idx val="4"/>
          <c:order val="4"/>
          <c:tx>
            <c:strRef>
              <c:f>'25x'!$A$163</c:f>
              <c:strCache>
                <c:ptCount val="1"/>
                <c:pt idx="0">
                  <c:v>Domestico</c:v>
                </c:pt>
              </c:strCache>
            </c:strRef>
          </c:tx>
          <c:spPr>
            <a:solidFill>
              <a:schemeClr val="accent5"/>
            </a:solidFill>
            <a:ln>
              <a:noFill/>
            </a:ln>
            <a:effectLst/>
          </c:spPr>
          <c:invertIfNegative val="0"/>
          <c:cat>
            <c:numRef>
              <c:f>'25x'!$K$158:$Z$158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'25x'!$K$163:$Z$163</c:f>
              <c:numCache>
                <c:formatCode>0.0</c:formatCode>
                <c:ptCount val="16"/>
                <c:pt idx="0">
                  <c:v>66.932500000000005</c:v>
                </c:pt>
                <c:pt idx="1">
                  <c:v>67.60260000000001</c:v>
                </c:pt>
                <c:pt idx="2">
                  <c:v>67.220399999999998</c:v>
                </c:pt>
                <c:pt idx="3">
                  <c:v>68.388899999999992</c:v>
                </c:pt>
                <c:pt idx="4">
                  <c:v>68.924399999999991</c:v>
                </c:pt>
                <c:pt idx="5">
                  <c:v>69.5505</c:v>
                </c:pt>
                <c:pt idx="6">
                  <c:v>70.1404</c:v>
                </c:pt>
                <c:pt idx="7">
                  <c:v>69.456600000000009</c:v>
                </c:pt>
                <c:pt idx="8">
                  <c:v>66.983199999999997</c:v>
                </c:pt>
                <c:pt idx="9">
                  <c:v>64.254999999999995</c:v>
                </c:pt>
                <c:pt idx="10">
                  <c:v>66.187300000000008</c:v>
                </c:pt>
                <c:pt idx="11">
                  <c:v>64.304199999999994</c:v>
                </c:pt>
                <c:pt idx="12">
                  <c:v>65.490700000000004</c:v>
                </c:pt>
                <c:pt idx="13">
                  <c:v>65.137799999999999</c:v>
                </c:pt>
                <c:pt idx="14">
                  <c:v>65.587999999999994</c:v>
                </c:pt>
                <c:pt idx="15">
                  <c:v>66.211600000000004</c:v>
                </c:pt>
              </c:numCache>
            </c:numRef>
          </c:val>
          <c:extLst>
            <c:ext xmlns:c16="http://schemas.microsoft.com/office/drawing/2014/chart" uri="{C3380CC4-5D6E-409C-BE32-E72D297353CC}">
              <c16:uniqueId val="{00000004-87F5-4541-AB76-EC257C245FEC}"/>
            </c:ext>
          </c:extLst>
        </c:ser>
        <c:dLbls>
          <c:showLegendKey val="0"/>
          <c:showVal val="0"/>
          <c:showCatName val="0"/>
          <c:showSerName val="0"/>
          <c:showPercent val="0"/>
          <c:showBubbleSize val="0"/>
        </c:dLbls>
        <c:gapWidth val="150"/>
        <c:overlap val="100"/>
        <c:axId val="1977590336"/>
        <c:axId val="1842608016"/>
      </c:barChart>
      <c:catAx>
        <c:axId val="19775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842608016"/>
        <c:crosses val="autoZero"/>
        <c:auto val="1"/>
        <c:lblAlgn val="ctr"/>
        <c:lblOffset val="100"/>
        <c:noMultiLvlLbl val="0"/>
      </c:catAx>
      <c:valAx>
        <c:axId val="184260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a:t>Comsumo di energia elettrica (TWh)</a:t>
                </a:r>
              </a:p>
            </c:rich>
          </c:tx>
          <c:layout>
            <c:manualLayout>
              <c:xMode val="edge"/>
              <c:yMode val="edge"/>
              <c:x val="1.3392871266385616E-2"/>
              <c:y val="3.010692084542064E-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977590336"/>
        <c:crosses val="autoZero"/>
        <c:crossBetween val="between"/>
      </c:valAx>
      <c:spPr>
        <a:noFill/>
        <a:ln>
          <a:noFill/>
        </a:ln>
        <a:effectLst/>
      </c:spPr>
    </c:plotArea>
    <c:legend>
      <c:legendPos val="b"/>
      <c:layout>
        <c:manualLayout>
          <c:xMode val="edge"/>
          <c:yMode val="edge"/>
          <c:x val="0.12016147373608732"/>
          <c:y val="0.82152838789888105"/>
          <c:w val="0.84003428012613901"/>
          <c:h val="0.1784716121011189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pPr>
      <a:endParaRPr lang="it-I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1755294758911E-2"/>
          <c:y val="4.3033022035036568E-2"/>
          <c:w val="0.7839397683767404"/>
          <c:h val="0.76652292010010381"/>
        </c:manualLayout>
      </c:layout>
      <c:barChart>
        <c:barDir val="col"/>
        <c:grouping val="stacked"/>
        <c:varyColors val="0"/>
        <c:ser>
          <c:idx val="0"/>
          <c:order val="0"/>
          <c:tx>
            <c:strRef>
              <c:f>lorda!$B$7</c:f>
              <c:strCache>
                <c:ptCount val="1"/>
                <c:pt idx="0">
                  <c:v>CI</c:v>
                </c:pt>
              </c:strCache>
            </c:strRef>
          </c:tx>
          <c:spPr>
            <a:solidFill>
              <a:srgbClr val="FF000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lorda!$C$7:$U$7</c:f>
              <c:numCache>
                <c:formatCode>_(* #,##0.0_);_(* \(#,##0.0\);_(* "-"??_);_(@_)</c:formatCode>
                <c:ptCount val="19"/>
                <c:pt idx="0">
                  <c:v>0.41899999999999998</c:v>
                </c:pt>
                <c:pt idx="1">
                  <c:v>0.504</c:v>
                </c:pt>
                <c:pt idx="2">
                  <c:v>0.52800000000000002</c:v>
                </c:pt>
                <c:pt idx="3">
                  <c:v>0.55900000000000005</c:v>
                </c:pt>
                <c:pt idx="4">
                  <c:v>0.63</c:v>
                </c:pt>
                <c:pt idx="5">
                  <c:v>0.72299999999999998</c:v>
                </c:pt>
                <c:pt idx="6">
                  <c:v>0.89100000000000001</c:v>
                </c:pt>
                <c:pt idx="7">
                  <c:v>1.0515999999999999</c:v>
                </c:pt>
                <c:pt idx="8">
                  <c:v>1.3879999999999999</c:v>
                </c:pt>
                <c:pt idx="9">
                  <c:v>1.3888</c:v>
                </c:pt>
                <c:pt idx="10">
                  <c:v>1.3180000000000001</c:v>
                </c:pt>
                <c:pt idx="11">
                  <c:v>1.2370000000000001</c:v>
                </c:pt>
                <c:pt idx="12">
                  <c:v>1.2364999999999999</c:v>
                </c:pt>
                <c:pt idx="13">
                  <c:v>1.2402</c:v>
                </c:pt>
                <c:pt idx="14">
                  <c:v>1.224</c:v>
                </c:pt>
                <c:pt idx="15">
                  <c:v>1.2035</c:v>
                </c:pt>
                <c:pt idx="16">
                  <c:v>1.1915</c:v>
                </c:pt>
                <c:pt idx="17">
                  <c:v>1.1418999999999999</c:v>
                </c:pt>
                <c:pt idx="18">
                  <c:v>1.2854000000000001</c:v>
                </c:pt>
              </c:numCache>
            </c:numRef>
          </c:val>
          <c:extLst>
            <c:ext xmlns:c16="http://schemas.microsoft.com/office/drawing/2014/chart" uri="{C3380CC4-5D6E-409C-BE32-E72D297353CC}">
              <c16:uniqueId val="{00000000-B697-4EAA-9C4D-893B19AA24BC}"/>
            </c:ext>
          </c:extLst>
        </c:ser>
        <c:ser>
          <c:idx val="1"/>
          <c:order val="1"/>
          <c:tx>
            <c:strRef>
              <c:f>lorda!$B$8</c:f>
              <c:strCache>
                <c:ptCount val="1"/>
                <c:pt idx="0">
                  <c:v>TG</c:v>
                </c:pt>
              </c:strCache>
            </c:strRef>
          </c:tx>
          <c:spPr>
            <a:solidFill>
              <a:srgbClr val="FFFF0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lorda!$C$8:$U$8</c:f>
              <c:numCache>
                <c:formatCode>_(* #,##0.0_);_(* \(#,##0.0\);_(* "-"??_);_(@_)</c:formatCode>
                <c:ptCount val="19"/>
                <c:pt idx="0">
                  <c:v>4.4829999999999997</c:v>
                </c:pt>
                <c:pt idx="1">
                  <c:v>2.98</c:v>
                </c:pt>
                <c:pt idx="2">
                  <c:v>2.968</c:v>
                </c:pt>
                <c:pt idx="3">
                  <c:v>2.9790000000000001</c:v>
                </c:pt>
                <c:pt idx="4">
                  <c:v>3.0990000000000002</c:v>
                </c:pt>
                <c:pt idx="5">
                  <c:v>2.5019999999999998</c:v>
                </c:pt>
                <c:pt idx="6">
                  <c:v>2.5169999999999999</c:v>
                </c:pt>
                <c:pt idx="7">
                  <c:v>2.5489999999999999</c:v>
                </c:pt>
                <c:pt idx="8">
                  <c:v>2.5464000000000002</c:v>
                </c:pt>
                <c:pt idx="9">
                  <c:v>2.0970999999999997</c:v>
                </c:pt>
                <c:pt idx="10">
                  <c:v>1.5161</c:v>
                </c:pt>
                <c:pt idx="11">
                  <c:v>2.1242999999999999</c:v>
                </c:pt>
                <c:pt idx="12">
                  <c:v>2.7189999999999999</c:v>
                </c:pt>
                <c:pt idx="13">
                  <c:v>2.7187000000000001</c:v>
                </c:pt>
                <c:pt idx="14">
                  <c:v>2.7185999999999999</c:v>
                </c:pt>
                <c:pt idx="15">
                  <c:v>2.7061000000000002</c:v>
                </c:pt>
                <c:pt idx="16">
                  <c:v>2.3544999999999998</c:v>
                </c:pt>
                <c:pt idx="17">
                  <c:v>2.3544999999999998</c:v>
                </c:pt>
                <c:pt idx="18">
                  <c:v>2.363</c:v>
                </c:pt>
              </c:numCache>
            </c:numRef>
          </c:val>
          <c:extLst>
            <c:ext xmlns:c16="http://schemas.microsoft.com/office/drawing/2014/chart" uri="{C3380CC4-5D6E-409C-BE32-E72D297353CC}">
              <c16:uniqueId val="{00000001-B697-4EAA-9C4D-893B19AA24BC}"/>
            </c:ext>
          </c:extLst>
        </c:ser>
        <c:ser>
          <c:idx val="2"/>
          <c:order val="2"/>
          <c:tx>
            <c:strRef>
              <c:f>lorda!$B$9</c:f>
              <c:strCache>
                <c:ptCount val="1"/>
                <c:pt idx="0">
                  <c:v>C</c:v>
                </c:pt>
              </c:strCache>
            </c:strRef>
          </c:tx>
          <c:spPr>
            <a:solidFill>
              <a:schemeClr val="accent1">
                <a:lumMod val="40000"/>
                <a:lumOff val="60000"/>
              </a:schemeClr>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lorda!$C$9:$U$9</c:f>
              <c:numCache>
                <c:formatCode>_(* #,##0.0_);_(* \(#,##0.0\);_(* "-"??_);_(@_)</c:formatCode>
                <c:ptCount val="19"/>
                <c:pt idx="0">
                  <c:v>37.54</c:v>
                </c:pt>
                <c:pt idx="1">
                  <c:v>24.084</c:v>
                </c:pt>
                <c:pt idx="2">
                  <c:v>23.736000000000001</c:v>
                </c:pt>
                <c:pt idx="3">
                  <c:v>23.288</c:v>
                </c:pt>
                <c:pt idx="4">
                  <c:v>23.353999999999999</c:v>
                </c:pt>
                <c:pt idx="5">
                  <c:v>21.884</c:v>
                </c:pt>
                <c:pt idx="6">
                  <c:v>21.803000000000001</c:v>
                </c:pt>
                <c:pt idx="7">
                  <c:v>21.556999999999999</c:v>
                </c:pt>
                <c:pt idx="8">
                  <c:v>21.555199999999999</c:v>
                </c:pt>
                <c:pt idx="9">
                  <c:v>20.949200000000001</c:v>
                </c:pt>
                <c:pt idx="10">
                  <c:v>17.873799999999999</c:v>
                </c:pt>
                <c:pt idx="11">
                  <c:v>13.478999999999999</c:v>
                </c:pt>
                <c:pt idx="12">
                  <c:v>12.5648</c:v>
                </c:pt>
                <c:pt idx="13">
                  <c:v>11.7476</c:v>
                </c:pt>
                <c:pt idx="14">
                  <c:v>11.748200000000001</c:v>
                </c:pt>
                <c:pt idx="15">
                  <c:v>11.7067</c:v>
                </c:pt>
                <c:pt idx="16">
                  <c:v>10.546799999999999</c:v>
                </c:pt>
                <c:pt idx="17">
                  <c:v>9.9123999999999999</c:v>
                </c:pt>
                <c:pt idx="18">
                  <c:v>9.1585000000000001</c:v>
                </c:pt>
              </c:numCache>
            </c:numRef>
          </c:val>
          <c:extLst>
            <c:ext xmlns:c16="http://schemas.microsoft.com/office/drawing/2014/chart" uri="{C3380CC4-5D6E-409C-BE32-E72D297353CC}">
              <c16:uniqueId val="{00000002-B697-4EAA-9C4D-893B19AA24BC}"/>
            </c:ext>
          </c:extLst>
        </c:ser>
        <c:ser>
          <c:idx val="3"/>
          <c:order val="3"/>
          <c:tx>
            <c:strRef>
              <c:f>lorda!$B$10</c:f>
              <c:strCache>
                <c:ptCount val="1"/>
                <c:pt idx="0">
                  <c:v>CC</c:v>
                </c:pt>
              </c:strCache>
            </c:strRef>
          </c:tx>
          <c:spPr>
            <a:solidFill>
              <a:srgbClr val="92D05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lorda!$C$10:$U$10</c:f>
              <c:numCache>
                <c:formatCode>_(* #,##0.0_);_(* \(#,##0.0\);_(* "-"??_);_(@_)</c:formatCode>
                <c:ptCount val="19"/>
                <c:pt idx="0">
                  <c:v>1.601</c:v>
                </c:pt>
                <c:pt idx="1">
                  <c:v>12.782999999999999</c:v>
                </c:pt>
                <c:pt idx="2">
                  <c:v>15.555999999999999</c:v>
                </c:pt>
                <c:pt idx="3">
                  <c:v>18.940000000000001</c:v>
                </c:pt>
                <c:pt idx="4">
                  <c:v>21.768999999999998</c:v>
                </c:pt>
                <c:pt idx="5">
                  <c:v>21.504000000000001</c:v>
                </c:pt>
                <c:pt idx="6">
                  <c:v>23.106999999999999</c:v>
                </c:pt>
                <c:pt idx="7">
                  <c:v>25.065000000000001</c:v>
                </c:pt>
                <c:pt idx="8">
                  <c:v>25.9343</c:v>
                </c:pt>
                <c:pt idx="9">
                  <c:v>25.2196</c:v>
                </c:pt>
                <c:pt idx="10">
                  <c:v>25.131399999999999</c:v>
                </c:pt>
                <c:pt idx="11">
                  <c:v>22.611999999999998</c:v>
                </c:pt>
                <c:pt idx="12">
                  <c:v>21.821200000000001</c:v>
                </c:pt>
                <c:pt idx="13">
                  <c:v>21.823899999999998</c:v>
                </c:pt>
                <c:pt idx="14">
                  <c:v>21.823899999999998</c:v>
                </c:pt>
                <c:pt idx="15">
                  <c:v>21.823899999999998</c:v>
                </c:pt>
                <c:pt idx="16">
                  <c:v>21.8965</c:v>
                </c:pt>
                <c:pt idx="17">
                  <c:v>22.080100000000002</c:v>
                </c:pt>
                <c:pt idx="18">
                  <c:v>22.693200000000001</c:v>
                </c:pt>
              </c:numCache>
            </c:numRef>
          </c:val>
          <c:extLst>
            <c:ext xmlns:c16="http://schemas.microsoft.com/office/drawing/2014/chart" uri="{C3380CC4-5D6E-409C-BE32-E72D297353CC}">
              <c16:uniqueId val="{00000003-B697-4EAA-9C4D-893B19AA24BC}"/>
            </c:ext>
          </c:extLst>
        </c:ser>
        <c:ser>
          <c:idx val="4"/>
          <c:order val="4"/>
          <c:tx>
            <c:strRef>
              <c:f>lorda!$B$11</c:f>
              <c:strCache>
                <c:ptCount val="1"/>
                <c:pt idx="0">
                  <c:v>RP</c:v>
                </c:pt>
              </c:strCache>
            </c:strRef>
          </c:tx>
          <c:spPr>
            <a:solidFill>
              <a:schemeClr val="accent6">
                <a:lumMod val="75000"/>
              </a:schemeClr>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lorda!$C$11:$U$11</c:f>
              <c:numCache>
                <c:formatCode>_(* #,##0.0_);_(* \(#,##0.0\);_(* "-"??_);_(@_)</c:formatCode>
                <c:ptCount val="19"/>
                <c:pt idx="0">
                  <c:v>0</c:v>
                </c:pt>
                <c:pt idx="1">
                  <c:v>5.758</c:v>
                </c:pt>
                <c:pt idx="2">
                  <c:v>5.758</c:v>
                </c:pt>
                <c:pt idx="3">
                  <c:v>5.758</c:v>
                </c:pt>
                <c:pt idx="4">
                  <c:v>5.3179999999999996</c:v>
                </c:pt>
                <c:pt idx="5">
                  <c:v>5.3179999999999996</c:v>
                </c:pt>
                <c:pt idx="6">
                  <c:v>5.3179999999999996</c:v>
                </c:pt>
                <c:pt idx="7">
                  <c:v>5.3179999999999996</c:v>
                </c:pt>
                <c:pt idx="8">
                  <c:v>5.3176000000000005</c:v>
                </c:pt>
                <c:pt idx="9">
                  <c:v>5.3176000000000005</c:v>
                </c:pt>
                <c:pt idx="10">
                  <c:v>5.3175999999999997</c:v>
                </c:pt>
                <c:pt idx="11">
                  <c:v>2.2444000000000002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4-B697-4EAA-9C4D-893B19AA24BC}"/>
            </c:ext>
          </c:extLst>
        </c:ser>
        <c:dLbls>
          <c:showLegendKey val="0"/>
          <c:showVal val="0"/>
          <c:showCatName val="0"/>
          <c:showSerName val="0"/>
          <c:showPercent val="0"/>
          <c:showBubbleSize val="0"/>
        </c:dLbls>
        <c:gapWidth val="150"/>
        <c:overlap val="100"/>
        <c:axId val="246428032"/>
        <c:axId val="246429952"/>
      </c:barChart>
      <c:lineChart>
        <c:grouping val="standard"/>
        <c:varyColors val="0"/>
        <c:ser>
          <c:idx val="5"/>
          <c:order val="5"/>
          <c:tx>
            <c:strRef>
              <c:f>lorda!$A$28</c:f>
              <c:strCache>
                <c:ptCount val="1"/>
                <c:pt idx="0">
                  <c:v>Produzione lorda</c:v>
                </c:pt>
              </c:strCache>
            </c:strRef>
          </c:tx>
          <c:spPr>
            <a:ln>
              <a:solidFill>
                <a:srgbClr val="FF0000"/>
              </a:solidFill>
            </a:ln>
          </c:spPr>
          <c:marker>
            <c:spPr>
              <a:solidFill>
                <a:schemeClr val="tx1"/>
              </a:solidFill>
            </c:spPr>
          </c:marker>
          <c:val>
            <c:numRef>
              <c:f>lorda!$C$31:$U$31</c:f>
              <c:numCache>
                <c:formatCode>_(* #,##0.0_);_(* \(#,##0.0\);_(* "-"??_);_(@_)</c:formatCode>
                <c:ptCount val="19"/>
                <c:pt idx="0">
                  <c:v>159.56899999999999</c:v>
                </c:pt>
                <c:pt idx="1">
                  <c:v>157.53</c:v>
                </c:pt>
                <c:pt idx="2">
                  <c:v>159.49340000000001</c:v>
                </c:pt>
                <c:pt idx="3">
                  <c:v>157.09270000000001</c:v>
                </c:pt>
                <c:pt idx="4">
                  <c:v>157.48740000000001</c:v>
                </c:pt>
                <c:pt idx="5">
                  <c:v>125.5963</c:v>
                </c:pt>
                <c:pt idx="6">
                  <c:v>119.00319999999999</c:v>
                </c:pt>
                <c:pt idx="7">
                  <c:v>126.1915</c:v>
                </c:pt>
                <c:pt idx="8">
                  <c:v>115.9717</c:v>
                </c:pt>
                <c:pt idx="9">
                  <c:v>100.94168000000001</c:v>
                </c:pt>
                <c:pt idx="10">
                  <c:v>90.359399999999994</c:v>
                </c:pt>
                <c:pt idx="11">
                  <c:v>95.583899999999986</c:v>
                </c:pt>
                <c:pt idx="12">
                  <c:v>93.5672</c:v>
                </c:pt>
                <c:pt idx="13">
                  <c:v>98.695400000000006</c:v>
                </c:pt>
                <c:pt idx="14">
                  <c:v>87.208100000000002</c:v>
                </c:pt>
                <c:pt idx="15">
                  <c:v>87.823300000000003</c:v>
                </c:pt>
                <c:pt idx="16">
                  <c:v>80.352500000000006</c:v>
                </c:pt>
                <c:pt idx="17">
                  <c:v>87.54301000000001</c:v>
                </c:pt>
                <c:pt idx="18">
                  <c:v>93.073499999999996</c:v>
                </c:pt>
              </c:numCache>
            </c:numRef>
          </c:val>
          <c:smooth val="1"/>
          <c:extLst>
            <c:ext xmlns:c16="http://schemas.microsoft.com/office/drawing/2014/chart" uri="{C3380CC4-5D6E-409C-BE32-E72D297353CC}">
              <c16:uniqueId val="{00000005-B697-4EAA-9C4D-893B19AA24BC}"/>
            </c:ext>
          </c:extLst>
        </c:ser>
        <c:dLbls>
          <c:showLegendKey val="0"/>
          <c:showVal val="0"/>
          <c:showCatName val="0"/>
          <c:showSerName val="0"/>
          <c:showPercent val="0"/>
          <c:showBubbleSize val="0"/>
        </c:dLbls>
        <c:marker val="1"/>
        <c:smooth val="0"/>
        <c:axId val="246433280"/>
        <c:axId val="246431744"/>
      </c:lineChart>
      <c:catAx>
        <c:axId val="246428032"/>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429952"/>
        <c:crosses val="autoZero"/>
        <c:auto val="1"/>
        <c:lblAlgn val="ctr"/>
        <c:lblOffset val="100"/>
        <c:noMultiLvlLbl val="0"/>
      </c:catAx>
      <c:valAx>
        <c:axId val="24642995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428032"/>
        <c:crosses val="autoZero"/>
        <c:crossBetween val="between"/>
      </c:valAx>
      <c:valAx>
        <c:axId val="246431744"/>
        <c:scaling>
          <c:orientation val="minMax"/>
        </c:scaling>
        <c:delete val="0"/>
        <c:axPos val="r"/>
        <c:numFmt formatCode="General" sourceLinked="0"/>
        <c:majorTickMark val="out"/>
        <c:minorTickMark val="none"/>
        <c:tickLblPos val="nextTo"/>
        <c:txPr>
          <a:bodyPr/>
          <a:lstStyle/>
          <a:p>
            <a:pPr>
              <a:defRPr b="1"/>
            </a:pPr>
            <a:endParaRPr lang="it-IT"/>
          </a:p>
        </c:txPr>
        <c:crossAx val="246433280"/>
        <c:crosses val="max"/>
        <c:crossBetween val="between"/>
      </c:valAx>
      <c:catAx>
        <c:axId val="246433280"/>
        <c:scaling>
          <c:orientation val="minMax"/>
        </c:scaling>
        <c:delete val="1"/>
        <c:axPos val="b"/>
        <c:numFmt formatCode="General" sourceLinked="1"/>
        <c:majorTickMark val="out"/>
        <c:minorTickMark val="none"/>
        <c:tickLblPos val="none"/>
        <c:crossAx val="246431744"/>
        <c:crosses val="autoZero"/>
        <c:auto val="1"/>
        <c:lblAlgn val="ctr"/>
        <c:lblOffset val="100"/>
        <c:noMultiLvlLbl val="0"/>
      </c:catAx>
    </c:plotArea>
    <c:legend>
      <c:legendPos val="b"/>
      <c:layout>
        <c:manualLayout>
          <c:xMode val="edge"/>
          <c:yMode val="edge"/>
          <c:x val="0.12350576480055687"/>
          <c:y val="0.92909607085412271"/>
          <c:w val="0.74969808687069273"/>
          <c:h val="6.388407993711303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8655064019578"/>
          <c:y val="4.3033022035036596E-2"/>
          <c:w val="0.781601069540383"/>
          <c:h val="0.75558521411434798"/>
        </c:manualLayout>
      </c:layout>
      <c:barChart>
        <c:barDir val="col"/>
        <c:grouping val="stacked"/>
        <c:varyColors val="0"/>
        <c:ser>
          <c:idx val="0"/>
          <c:order val="0"/>
          <c:tx>
            <c:strRef>
              <c:f>lorda!$B$16</c:f>
              <c:strCache>
                <c:ptCount val="1"/>
                <c:pt idx="0">
                  <c:v>CIC</c:v>
                </c:pt>
              </c:strCache>
            </c:strRef>
          </c:tx>
          <c:spPr>
            <a:solidFill>
              <a:srgbClr val="FF000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lorda!$C$16:$U$16</c:f>
              <c:numCache>
                <c:formatCode>_(* #,##0.0_);_(* \(#,##0.0\);_(* "-"??_);_(@_)</c:formatCode>
                <c:ptCount val="19"/>
                <c:pt idx="0">
                  <c:v>0.42499999999999999</c:v>
                </c:pt>
                <c:pt idx="1">
                  <c:v>0.63300000000000001</c:v>
                </c:pt>
                <c:pt idx="2">
                  <c:v>0.70399999999999996</c:v>
                </c:pt>
                <c:pt idx="3">
                  <c:v>0.76300000000000001</c:v>
                </c:pt>
                <c:pt idx="4">
                  <c:v>0.82499999999999996</c:v>
                </c:pt>
                <c:pt idx="5">
                  <c:v>1.115</c:v>
                </c:pt>
                <c:pt idx="6">
                  <c:v>1.42</c:v>
                </c:pt>
                <c:pt idx="7">
                  <c:v>1.8169999999999999</c:v>
                </c:pt>
                <c:pt idx="8">
                  <c:v>2.3540999999999999</c:v>
                </c:pt>
                <c:pt idx="9">
                  <c:v>2.5390000000000001</c:v>
                </c:pt>
                <c:pt idx="10">
                  <c:v>2.8271000000000002</c:v>
                </c:pt>
                <c:pt idx="11">
                  <c:v>3.0895000000000001</c:v>
                </c:pt>
                <c:pt idx="12">
                  <c:v>3.2547999999999999</c:v>
                </c:pt>
                <c:pt idx="13">
                  <c:v>3.3668999999999998</c:v>
                </c:pt>
                <c:pt idx="14">
                  <c:v>3.5444</c:v>
                </c:pt>
                <c:pt idx="15">
                  <c:v>3.6852999999999998</c:v>
                </c:pt>
                <c:pt idx="16">
                  <c:v>3.7970000000000002</c:v>
                </c:pt>
                <c:pt idx="17">
                  <c:v>3.9034</c:v>
                </c:pt>
                <c:pt idx="18">
                  <c:v>4.0803000000000003</c:v>
                </c:pt>
              </c:numCache>
            </c:numRef>
          </c:val>
          <c:extLst>
            <c:ext xmlns:c16="http://schemas.microsoft.com/office/drawing/2014/chart" uri="{C3380CC4-5D6E-409C-BE32-E72D297353CC}">
              <c16:uniqueId val="{00000000-0C64-4252-AB75-FAA849A86D6E}"/>
            </c:ext>
          </c:extLst>
        </c:ser>
        <c:ser>
          <c:idx val="1"/>
          <c:order val="1"/>
          <c:tx>
            <c:strRef>
              <c:f>lorda!$B$17</c:f>
              <c:strCache>
                <c:ptCount val="1"/>
                <c:pt idx="0">
                  <c:v>TGC</c:v>
                </c:pt>
              </c:strCache>
            </c:strRef>
          </c:tx>
          <c:spPr>
            <a:solidFill>
              <a:srgbClr val="FFFF0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lorda!$C$17:$U$17</c:f>
              <c:numCache>
                <c:formatCode>_(* #,##0.0_);_(* \(#,##0.0\);_(* "-"??_);_(@_)</c:formatCode>
                <c:ptCount val="19"/>
                <c:pt idx="0">
                  <c:v>0.88300000000000001</c:v>
                </c:pt>
                <c:pt idx="1">
                  <c:v>1.0249999999999999</c:v>
                </c:pt>
                <c:pt idx="2">
                  <c:v>1.052</c:v>
                </c:pt>
                <c:pt idx="3">
                  <c:v>1.0760000000000001</c:v>
                </c:pt>
                <c:pt idx="4">
                  <c:v>1.0049999999999999</c:v>
                </c:pt>
                <c:pt idx="5">
                  <c:v>0.89</c:v>
                </c:pt>
                <c:pt idx="6">
                  <c:v>0.89190000000000003</c:v>
                </c:pt>
                <c:pt idx="7">
                  <c:v>0.94799999999999995</c:v>
                </c:pt>
                <c:pt idx="8">
                  <c:v>0.94510000000000005</c:v>
                </c:pt>
                <c:pt idx="9">
                  <c:v>1.008</c:v>
                </c:pt>
                <c:pt idx="10">
                  <c:v>1.0439000000000001</c:v>
                </c:pt>
                <c:pt idx="11">
                  <c:v>1.0606</c:v>
                </c:pt>
                <c:pt idx="12">
                  <c:v>1.0487</c:v>
                </c:pt>
                <c:pt idx="13">
                  <c:v>1.0334000000000001</c:v>
                </c:pt>
                <c:pt idx="14">
                  <c:v>1.0194000000000001</c:v>
                </c:pt>
                <c:pt idx="15">
                  <c:v>1.028</c:v>
                </c:pt>
                <c:pt idx="16">
                  <c:v>1.0484</c:v>
                </c:pt>
                <c:pt idx="17">
                  <c:v>1.6680999999999999</c:v>
                </c:pt>
                <c:pt idx="18">
                  <c:v>1.4371</c:v>
                </c:pt>
              </c:numCache>
            </c:numRef>
          </c:val>
          <c:extLst>
            <c:ext xmlns:c16="http://schemas.microsoft.com/office/drawing/2014/chart" uri="{C3380CC4-5D6E-409C-BE32-E72D297353CC}">
              <c16:uniqueId val="{00000001-0C64-4252-AB75-FAA849A86D6E}"/>
            </c:ext>
          </c:extLst>
        </c:ser>
        <c:ser>
          <c:idx val="2"/>
          <c:order val="2"/>
          <c:tx>
            <c:strRef>
              <c:f>lorda!$B$18</c:f>
              <c:strCache>
                <c:ptCount val="1"/>
                <c:pt idx="0">
                  <c:v>CCC</c:v>
                </c:pt>
              </c:strCache>
            </c:strRef>
          </c:tx>
          <c:spPr>
            <a:solidFill>
              <a:srgbClr val="92D050"/>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lorda!$C$18:$U$18</c:f>
              <c:numCache>
                <c:formatCode>_(* #,##0.0_);_(* \(#,##0.0\);_(* "-"??_);_(@_)</c:formatCode>
                <c:ptCount val="19"/>
                <c:pt idx="0">
                  <c:v>6.3440000000000003</c:v>
                </c:pt>
                <c:pt idx="1">
                  <c:v>12.555</c:v>
                </c:pt>
                <c:pt idx="2">
                  <c:v>13.914999999999999</c:v>
                </c:pt>
                <c:pt idx="3">
                  <c:v>15</c:v>
                </c:pt>
                <c:pt idx="4">
                  <c:v>16.341999999999999</c:v>
                </c:pt>
                <c:pt idx="5">
                  <c:v>19.125</c:v>
                </c:pt>
                <c:pt idx="6">
                  <c:v>18.928999999999998</c:v>
                </c:pt>
                <c:pt idx="7">
                  <c:v>18.338999999999999</c:v>
                </c:pt>
                <c:pt idx="8">
                  <c:v>17.5014</c:v>
                </c:pt>
                <c:pt idx="9">
                  <c:v>16.932400000000001</c:v>
                </c:pt>
                <c:pt idx="10">
                  <c:v>16.8583</c:v>
                </c:pt>
                <c:pt idx="11">
                  <c:v>19.208400000000001</c:v>
                </c:pt>
                <c:pt idx="12">
                  <c:v>19.017800000000001</c:v>
                </c:pt>
                <c:pt idx="13">
                  <c:v>18.884699999999999</c:v>
                </c:pt>
                <c:pt idx="14">
                  <c:v>18.886700000000001</c:v>
                </c:pt>
                <c:pt idx="15">
                  <c:v>18.731999999999999</c:v>
                </c:pt>
                <c:pt idx="16">
                  <c:v>18.888999999999999</c:v>
                </c:pt>
                <c:pt idx="17">
                  <c:v>17.9984</c:v>
                </c:pt>
                <c:pt idx="18">
                  <c:v>18.760300000000001</c:v>
                </c:pt>
              </c:numCache>
            </c:numRef>
          </c:val>
          <c:extLst>
            <c:ext xmlns:c16="http://schemas.microsoft.com/office/drawing/2014/chart" uri="{C3380CC4-5D6E-409C-BE32-E72D297353CC}">
              <c16:uniqueId val="{00000002-0C64-4252-AB75-FAA849A86D6E}"/>
            </c:ext>
          </c:extLst>
        </c:ser>
        <c:ser>
          <c:idx val="3"/>
          <c:order val="3"/>
          <c:tx>
            <c:strRef>
              <c:f>lorda!$B$19</c:f>
              <c:strCache>
                <c:ptCount val="1"/>
                <c:pt idx="0">
                  <c:v>CPC</c:v>
                </c:pt>
              </c:strCache>
            </c:strRef>
          </c:tx>
          <c:spPr>
            <a:solidFill>
              <a:schemeClr val="tx2">
                <a:lumMod val="60000"/>
                <a:lumOff val="40000"/>
              </a:schemeClr>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lorda!$C$19:$U$19</c:f>
              <c:numCache>
                <c:formatCode>_(* #,##0.0_);_(* \(#,##0.0\);_(* "-"??_);_(@_)</c:formatCode>
                <c:ptCount val="19"/>
                <c:pt idx="0">
                  <c:v>2.0209999999999999</c:v>
                </c:pt>
                <c:pt idx="1">
                  <c:v>1.8879999999999999</c:v>
                </c:pt>
                <c:pt idx="2">
                  <c:v>1.7649999999999999</c:v>
                </c:pt>
                <c:pt idx="3">
                  <c:v>1.605</c:v>
                </c:pt>
                <c:pt idx="4">
                  <c:v>1.579</c:v>
                </c:pt>
                <c:pt idx="5">
                  <c:v>1.496</c:v>
                </c:pt>
                <c:pt idx="6">
                  <c:v>1.3009999999999999</c:v>
                </c:pt>
                <c:pt idx="7">
                  <c:v>1.26</c:v>
                </c:pt>
                <c:pt idx="8">
                  <c:v>1.1682000000000001</c:v>
                </c:pt>
                <c:pt idx="9">
                  <c:v>1.0539000000000001</c:v>
                </c:pt>
                <c:pt idx="10">
                  <c:v>1.0235000000000001</c:v>
                </c:pt>
                <c:pt idx="11">
                  <c:v>1.0132000000000001</c:v>
                </c:pt>
                <c:pt idx="12">
                  <c:v>0.72699999999999998</c:v>
                </c:pt>
                <c:pt idx="13">
                  <c:v>0.71679999999999999</c:v>
                </c:pt>
                <c:pt idx="14">
                  <c:v>0.64419999999999999</c:v>
                </c:pt>
                <c:pt idx="15">
                  <c:v>0.60880000000000001</c:v>
                </c:pt>
                <c:pt idx="16">
                  <c:v>0.55900000000000005</c:v>
                </c:pt>
                <c:pt idx="17">
                  <c:v>0.57299999999999995</c:v>
                </c:pt>
                <c:pt idx="18">
                  <c:v>0.56930000000000003</c:v>
                </c:pt>
              </c:numCache>
            </c:numRef>
          </c:val>
          <c:extLst>
            <c:ext xmlns:c16="http://schemas.microsoft.com/office/drawing/2014/chart" uri="{C3380CC4-5D6E-409C-BE32-E72D297353CC}">
              <c16:uniqueId val="{00000003-0C64-4252-AB75-FAA849A86D6E}"/>
            </c:ext>
          </c:extLst>
        </c:ser>
        <c:ser>
          <c:idx val="4"/>
          <c:order val="4"/>
          <c:tx>
            <c:strRef>
              <c:f>lorda!$B$20</c:f>
              <c:strCache>
                <c:ptCount val="1"/>
                <c:pt idx="0">
                  <c:v>CSC</c:v>
                </c:pt>
              </c:strCache>
            </c:strRef>
          </c:tx>
          <c:spPr>
            <a:solidFill>
              <a:schemeClr val="accent4">
                <a:lumMod val="60000"/>
                <a:lumOff val="40000"/>
              </a:schemeClr>
            </a:solidFill>
          </c:spPr>
          <c:invertIfNegative val="0"/>
          <c:cat>
            <c:numRef>
              <c:f>lorda!$C$4:$U$4</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lorda!$C$20:$U$20</c:f>
              <c:numCache>
                <c:formatCode>_(* #,##0.0_);_(* \(#,##0.0\);_(* "-"??_);_(@_)</c:formatCode>
                <c:ptCount val="19"/>
                <c:pt idx="0">
                  <c:v>2.5449999999999999</c:v>
                </c:pt>
                <c:pt idx="1">
                  <c:v>2.1960000000000002</c:v>
                </c:pt>
                <c:pt idx="2">
                  <c:v>2.0510000000000002</c:v>
                </c:pt>
                <c:pt idx="3">
                  <c:v>1.948</c:v>
                </c:pt>
                <c:pt idx="4">
                  <c:v>1.772</c:v>
                </c:pt>
                <c:pt idx="5">
                  <c:v>1.782</c:v>
                </c:pt>
                <c:pt idx="6">
                  <c:v>1.833</c:v>
                </c:pt>
                <c:pt idx="7">
                  <c:v>1.486</c:v>
                </c:pt>
                <c:pt idx="8">
                  <c:v>1.5404</c:v>
                </c:pt>
                <c:pt idx="9">
                  <c:v>1.6656</c:v>
                </c:pt>
                <c:pt idx="10">
                  <c:v>1.7112000000000001</c:v>
                </c:pt>
                <c:pt idx="11">
                  <c:v>2.1970999999999998</c:v>
                </c:pt>
                <c:pt idx="12">
                  <c:v>2.1795</c:v>
                </c:pt>
                <c:pt idx="13">
                  <c:v>2.1606999999999998</c:v>
                </c:pt>
                <c:pt idx="14">
                  <c:v>2.0569999999999999</c:v>
                </c:pt>
                <c:pt idx="15">
                  <c:v>2.0825</c:v>
                </c:pt>
                <c:pt idx="16">
                  <c:v>2.0651000000000002</c:v>
                </c:pt>
                <c:pt idx="17">
                  <c:v>1.9907999999999999</c:v>
                </c:pt>
                <c:pt idx="18">
                  <c:v>1.7349000000000001</c:v>
                </c:pt>
              </c:numCache>
            </c:numRef>
          </c:val>
          <c:extLst>
            <c:ext xmlns:c16="http://schemas.microsoft.com/office/drawing/2014/chart" uri="{C3380CC4-5D6E-409C-BE32-E72D297353CC}">
              <c16:uniqueId val="{00000004-0C64-4252-AB75-FAA849A86D6E}"/>
            </c:ext>
          </c:extLst>
        </c:ser>
        <c:dLbls>
          <c:showLegendKey val="0"/>
          <c:showVal val="0"/>
          <c:showCatName val="0"/>
          <c:showSerName val="0"/>
          <c:showPercent val="0"/>
          <c:showBubbleSize val="0"/>
        </c:dLbls>
        <c:gapWidth val="150"/>
        <c:overlap val="100"/>
        <c:axId val="246597120"/>
        <c:axId val="246599040"/>
      </c:barChart>
      <c:lineChart>
        <c:grouping val="standard"/>
        <c:varyColors val="0"/>
        <c:ser>
          <c:idx val="5"/>
          <c:order val="5"/>
          <c:tx>
            <c:strRef>
              <c:f>lorda!$A$28</c:f>
              <c:strCache>
                <c:ptCount val="1"/>
                <c:pt idx="0">
                  <c:v>Produzione lorda</c:v>
                </c:pt>
              </c:strCache>
            </c:strRef>
          </c:tx>
          <c:spPr>
            <a:ln>
              <a:solidFill>
                <a:srgbClr val="FF0000"/>
              </a:solidFill>
            </a:ln>
          </c:spPr>
          <c:marker>
            <c:spPr>
              <a:solidFill>
                <a:schemeClr val="tx1"/>
              </a:solidFill>
            </c:spPr>
          </c:marker>
          <c:cat>
            <c:numRef>
              <c:f>lorda!$C$29:$U$29</c:f>
              <c:numCache>
                <c:formatCode>General</c:formatCode>
                <c:ptCount val="19"/>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lorda!$C$38:$U$38</c:f>
              <c:numCache>
                <c:formatCode>_(* #,##0.0_);_(* \(#,##0.0\);_(* "-"??_);_(@_)</c:formatCode>
                <c:ptCount val="19"/>
                <c:pt idx="0">
                  <c:v>60.1</c:v>
                </c:pt>
                <c:pt idx="1">
                  <c:v>94.427000000000007</c:v>
                </c:pt>
                <c:pt idx="2">
                  <c:v>101.6439</c:v>
                </c:pt>
                <c:pt idx="3">
                  <c:v>107.6504</c:v>
                </c:pt>
                <c:pt idx="4">
                  <c:v>102.9247</c:v>
                </c:pt>
                <c:pt idx="5">
                  <c:v>100.43929999999999</c:v>
                </c:pt>
                <c:pt idx="6">
                  <c:v>111.468</c:v>
                </c:pt>
                <c:pt idx="7">
                  <c:v>101.50879999999999</c:v>
                </c:pt>
                <c:pt idx="8">
                  <c:v>100.83880000000001</c:v>
                </c:pt>
                <c:pt idx="9">
                  <c:v>91.292839999999984</c:v>
                </c:pt>
                <c:pt idx="10">
                  <c:v>85.150700000000001</c:v>
                </c:pt>
                <c:pt idx="11">
                  <c:v>95.874499999999998</c:v>
                </c:pt>
                <c:pt idx="12">
                  <c:v>105.1268</c:v>
                </c:pt>
                <c:pt idx="13">
                  <c:v>110.12809999999999</c:v>
                </c:pt>
                <c:pt idx="14">
                  <c:v>104.9207</c:v>
                </c:pt>
                <c:pt idx="15">
                  <c:v>107.2604</c:v>
                </c:pt>
                <c:pt idx="16">
                  <c:v>100.45226</c:v>
                </c:pt>
                <c:pt idx="17">
                  <c:v>101.58919999999999</c:v>
                </c:pt>
                <c:pt idx="18">
                  <c:v>105.4415</c:v>
                </c:pt>
              </c:numCache>
            </c:numRef>
          </c:val>
          <c:smooth val="1"/>
          <c:extLst>
            <c:ext xmlns:c16="http://schemas.microsoft.com/office/drawing/2014/chart" uri="{C3380CC4-5D6E-409C-BE32-E72D297353CC}">
              <c16:uniqueId val="{00000005-0C64-4252-AB75-FAA849A86D6E}"/>
            </c:ext>
          </c:extLst>
        </c:ser>
        <c:dLbls>
          <c:showLegendKey val="0"/>
          <c:showVal val="0"/>
          <c:showCatName val="0"/>
          <c:showSerName val="0"/>
          <c:showPercent val="0"/>
          <c:showBubbleSize val="0"/>
        </c:dLbls>
        <c:marker val="1"/>
        <c:smooth val="0"/>
        <c:axId val="246610560"/>
        <c:axId val="246609024"/>
      </c:lineChart>
      <c:catAx>
        <c:axId val="246597120"/>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599040"/>
        <c:crosses val="autoZero"/>
        <c:auto val="1"/>
        <c:lblAlgn val="ctr"/>
        <c:lblOffset val="100"/>
        <c:noMultiLvlLbl val="0"/>
      </c:catAx>
      <c:valAx>
        <c:axId val="246599040"/>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597120"/>
        <c:crosses val="autoZero"/>
        <c:crossBetween val="between"/>
      </c:valAx>
      <c:valAx>
        <c:axId val="246609024"/>
        <c:scaling>
          <c:orientation val="minMax"/>
        </c:scaling>
        <c:delete val="0"/>
        <c:axPos val="r"/>
        <c:numFmt formatCode="General" sourceLinked="0"/>
        <c:majorTickMark val="out"/>
        <c:minorTickMark val="none"/>
        <c:tickLblPos val="nextTo"/>
        <c:txPr>
          <a:bodyPr/>
          <a:lstStyle/>
          <a:p>
            <a:pPr>
              <a:defRPr b="1"/>
            </a:pPr>
            <a:endParaRPr lang="it-IT"/>
          </a:p>
        </c:txPr>
        <c:crossAx val="246610560"/>
        <c:crosses val="max"/>
        <c:crossBetween val="between"/>
      </c:valAx>
      <c:catAx>
        <c:axId val="246610560"/>
        <c:scaling>
          <c:orientation val="minMax"/>
        </c:scaling>
        <c:delete val="1"/>
        <c:axPos val="b"/>
        <c:numFmt formatCode="General" sourceLinked="1"/>
        <c:majorTickMark val="out"/>
        <c:minorTickMark val="none"/>
        <c:tickLblPos val="none"/>
        <c:crossAx val="246609024"/>
        <c:crosses val="autoZero"/>
        <c:auto val="1"/>
        <c:lblAlgn val="ctr"/>
        <c:lblOffset val="100"/>
        <c:noMultiLvlLbl val="0"/>
      </c:catAx>
    </c:plotArea>
    <c:legend>
      <c:legendPos val="b"/>
      <c:layout>
        <c:manualLayout>
          <c:xMode val="edge"/>
          <c:yMode val="edge"/>
          <c:x val="4.1651305527984274E-2"/>
          <c:y val="0.91402641538358631"/>
          <c:w val="0.93898789783876868"/>
          <c:h val="8.371719160105002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56703318558439"/>
          <c:y val="4.303302203503663E-2"/>
          <c:w val="0.83071374510392459"/>
          <c:h val="0.71231904614623809"/>
        </c:manualLayout>
      </c:layout>
      <c:lineChart>
        <c:grouping val="standard"/>
        <c:varyColors val="0"/>
        <c:ser>
          <c:idx val="1"/>
          <c:order val="0"/>
          <c:tx>
            <c:strRef>
              <c:f>lorda!$A$65</c:f>
              <c:strCache>
                <c:ptCount val="1"/>
                <c:pt idx="0">
                  <c:v>TOTALE</c:v>
                </c:pt>
              </c:strCache>
            </c:strRef>
          </c:tx>
          <c:marker>
            <c:symbol val="none"/>
          </c:marker>
          <c:cat>
            <c:numRef>
              <c:f>lorda!$C$4:$T$4</c:f>
              <c:numCache>
                <c:formatCode>General</c:formatCode>
                <c:ptCount val="18"/>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lorda!$C$65:$T$65</c:f>
              <c:numCache>
                <c:formatCode>_(* #,##0.0_);_(* \(#,##0.0\);_(* "-"??_);_(@_)</c:formatCode>
                <c:ptCount val="18"/>
                <c:pt idx="0">
                  <c:v>3899.195910325363</c:v>
                </c:pt>
                <c:pt idx="1">
                  <c:v>3897.4878569439716</c:v>
                </c:pt>
                <c:pt idx="2">
                  <c:v>3820.5896122896856</c:v>
                </c:pt>
                <c:pt idx="3">
                  <c:v>3664.7715946843859</c:v>
                </c:pt>
                <c:pt idx="4">
                  <c:v>3425.6185953511622</c:v>
                </c:pt>
                <c:pt idx="5">
                  <c:v>2948.1622538150514</c:v>
                </c:pt>
                <c:pt idx="6">
                  <c:v>2941.8976015113417</c:v>
                </c:pt>
                <c:pt idx="7">
                  <c:v>2856.5731203974356</c:v>
                </c:pt>
                <c:pt idx="8">
                  <c:v>2690.8212440474049</c:v>
                </c:pt>
                <c:pt idx="9">
                  <c:v>2448.8224323828545</c:v>
                </c:pt>
                <c:pt idx="10">
                  <c:v>2341.2085009657767</c:v>
                </c:pt>
                <c:pt idx="11">
                  <c:v>2790.995734606829</c:v>
                </c:pt>
                <c:pt idx="12">
                  <c:v>3060.823967268067</c:v>
                </c:pt>
                <c:pt idx="13">
                  <c:v>3260.5695049269971</c:v>
                </c:pt>
                <c:pt idx="14">
                  <c:v>3001.0652887682331</c:v>
                </c:pt>
                <c:pt idx="15">
                  <c:v>3050.6137703482468</c:v>
                </c:pt>
                <c:pt idx="16">
                  <c:v>2885.7702393625927</c:v>
                </c:pt>
                <c:pt idx="17">
                  <c:v>3053.8442659346865</c:v>
                </c:pt>
              </c:numCache>
            </c:numRef>
          </c:val>
          <c:smooth val="0"/>
          <c:extLst>
            <c:ext xmlns:c16="http://schemas.microsoft.com/office/drawing/2014/chart" uri="{C3380CC4-5D6E-409C-BE32-E72D297353CC}">
              <c16:uniqueId val="{00000000-5D62-4969-929D-F4A9D355F6F0}"/>
            </c:ext>
          </c:extLst>
        </c:ser>
        <c:ser>
          <c:idx val="0"/>
          <c:order val="1"/>
          <c:tx>
            <c:strRef>
              <c:f>lorda!$A$58</c:f>
              <c:strCache>
                <c:ptCount val="1"/>
                <c:pt idx="0">
                  <c:v>Produzione combinata energia elettrica e calore</c:v>
                </c:pt>
              </c:strCache>
            </c:strRef>
          </c:tx>
          <c:marker>
            <c:symbol val="none"/>
          </c:marker>
          <c:cat>
            <c:numRef>
              <c:f>lorda!$C$4:$T$4</c:f>
              <c:numCache>
                <c:formatCode>General</c:formatCode>
                <c:ptCount val="18"/>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lorda!$C$58:$T$58</c:f>
              <c:numCache>
                <c:formatCode>_(* #,##0.0_);_(* \(#,##0.0\);_(* "-"??_);_(@_)</c:formatCode>
                <c:ptCount val="18"/>
                <c:pt idx="0">
                  <c:v>4918.9720085120316</c:v>
                </c:pt>
                <c:pt idx="1">
                  <c:v>5160.7913865661039</c:v>
                </c:pt>
                <c:pt idx="2">
                  <c:v>5215.9850156514613</c:v>
                </c:pt>
                <c:pt idx="3">
                  <c:v>5279.3094992889028</c:v>
                </c:pt>
                <c:pt idx="4">
                  <c:v>4782.3018306848808</c:v>
                </c:pt>
                <c:pt idx="5">
                  <c:v>4114.8469826703258</c:v>
                </c:pt>
                <c:pt idx="6">
                  <c:v>4572.8585493928449</c:v>
                </c:pt>
                <c:pt idx="7">
                  <c:v>4256.3126336534024</c:v>
                </c:pt>
                <c:pt idx="8">
                  <c:v>4289.3335375087199</c:v>
                </c:pt>
                <c:pt idx="9">
                  <c:v>3935.2227907357665</c:v>
                </c:pt>
                <c:pt idx="10">
                  <c:v>3628.9933515172174</c:v>
                </c:pt>
                <c:pt idx="11">
                  <c:v>3608.5370810875916</c:v>
                </c:pt>
                <c:pt idx="12">
                  <c:v>4008.2202853460831</c:v>
                </c:pt>
                <c:pt idx="13">
                  <c:v>4209.3874820831352</c:v>
                </c:pt>
                <c:pt idx="14">
                  <c:v>4011.97236147278</c:v>
                </c:pt>
                <c:pt idx="15">
                  <c:v>4103.7919569650576</c:v>
                </c:pt>
                <c:pt idx="16">
                  <c:v>3810.9572514682</c:v>
                </c:pt>
                <c:pt idx="17">
                  <c:v>3887.2426723808067</c:v>
                </c:pt>
              </c:numCache>
            </c:numRef>
          </c:val>
          <c:smooth val="0"/>
          <c:extLst>
            <c:ext xmlns:c16="http://schemas.microsoft.com/office/drawing/2014/chart" uri="{C3380CC4-5D6E-409C-BE32-E72D297353CC}">
              <c16:uniqueId val="{00000001-5D62-4969-929D-F4A9D355F6F0}"/>
            </c:ext>
          </c:extLst>
        </c:ser>
        <c:ser>
          <c:idx val="2"/>
          <c:order val="2"/>
          <c:tx>
            <c:strRef>
              <c:f>lorda!$A$51</c:f>
              <c:strCache>
                <c:ptCount val="1"/>
                <c:pt idx="0">
                  <c:v>Solo produzione energia elettrica</c:v>
                </c:pt>
              </c:strCache>
            </c:strRef>
          </c:tx>
          <c:marker>
            <c:symbol val="none"/>
          </c:marker>
          <c:cat>
            <c:numRef>
              <c:f>lorda!$C$4:$T$4</c:f>
              <c:numCache>
                <c:formatCode>General</c:formatCode>
                <c:ptCount val="18"/>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lorda!$C$51:$T$51</c:f>
              <c:numCache>
                <c:formatCode>_(* #,##0.0_);_(* \(#,##0.0\);_(* "-"??_);_(@_)</c:formatCode>
                <c:ptCount val="18"/>
                <c:pt idx="0">
                  <c:v>3616.8683983861461</c:v>
                </c:pt>
                <c:pt idx="1">
                  <c:v>3398.7788301797236</c:v>
                </c:pt>
                <c:pt idx="2">
                  <c:v>3264.0934858686533</c:v>
                </c:pt>
                <c:pt idx="3">
                  <c:v>3029.8115682076805</c:v>
                </c:pt>
                <c:pt idx="4">
                  <c:v>2889.8361377690512</c:v>
                </c:pt>
                <c:pt idx="5">
                  <c:v>2403.2509902221541</c:v>
                </c:pt>
                <c:pt idx="6">
                  <c:v>2205.1922542388584</c:v>
                </c:pt>
                <c:pt idx="7">
                  <c:v>2258.9864308474453</c:v>
                </c:pt>
                <c:pt idx="8">
                  <c:v>2032.2772842850859</c:v>
                </c:pt>
                <c:pt idx="9">
                  <c:v>1825.2841222453478</c:v>
                </c:pt>
                <c:pt idx="10">
                  <c:v>1754.4969476676454</c:v>
                </c:pt>
                <c:pt idx="11">
                  <c:v>2274.1935483870971</c:v>
                </c:pt>
                <c:pt idx="12">
                  <c:v>2418.5445390488894</c:v>
                </c:pt>
                <c:pt idx="13">
                  <c:v>2605.2963629740307</c:v>
                </c:pt>
                <c:pt idx="14">
                  <c:v>2302.9314756669833</c:v>
                </c:pt>
                <c:pt idx="15">
                  <c:v>2322.6242393307966</c:v>
                </c:pt>
                <c:pt idx="16">
                  <c:v>2213.8663345740883</c:v>
                </c:pt>
                <c:pt idx="17">
                  <c:v>2445.4379373437432</c:v>
                </c:pt>
              </c:numCache>
            </c:numRef>
          </c:val>
          <c:smooth val="0"/>
          <c:extLst>
            <c:ext xmlns:c16="http://schemas.microsoft.com/office/drawing/2014/chart" uri="{C3380CC4-5D6E-409C-BE32-E72D297353CC}">
              <c16:uniqueId val="{00000002-5D62-4969-929D-F4A9D355F6F0}"/>
            </c:ext>
          </c:extLst>
        </c:ser>
        <c:dLbls>
          <c:showLegendKey val="0"/>
          <c:showVal val="0"/>
          <c:showCatName val="0"/>
          <c:showSerName val="0"/>
          <c:showPercent val="0"/>
          <c:showBubbleSize val="0"/>
        </c:dLbls>
        <c:smooth val="0"/>
        <c:axId val="246685056"/>
        <c:axId val="246584448"/>
      </c:lineChart>
      <c:catAx>
        <c:axId val="246685056"/>
        <c:scaling>
          <c:orientation val="minMax"/>
        </c:scaling>
        <c:delete val="0"/>
        <c:axPos val="b"/>
        <c:numFmt formatCode="General" sourceLinked="1"/>
        <c:majorTickMark val="out"/>
        <c:minorTickMark val="none"/>
        <c:tickLblPos val="nextTo"/>
        <c:crossAx val="246584448"/>
        <c:crosses val="autoZero"/>
        <c:auto val="1"/>
        <c:lblAlgn val="ctr"/>
        <c:lblOffset val="100"/>
        <c:noMultiLvlLbl val="0"/>
      </c:catAx>
      <c:valAx>
        <c:axId val="246584448"/>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crossAx val="246685056"/>
        <c:crosses val="autoZero"/>
        <c:crossBetween val="between"/>
      </c:valAx>
    </c:plotArea>
    <c:legend>
      <c:legendPos val="b"/>
      <c:layout>
        <c:manualLayout>
          <c:xMode val="edge"/>
          <c:yMode val="edge"/>
          <c:x val="3.697390785526599E-2"/>
          <c:y val="0.83430108570178241"/>
          <c:w val="0.96114684634748815"/>
          <c:h val="0.16569891429821737"/>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2890001745625"/>
          <c:y val="0.10991007842204856"/>
          <c:w val="0.81641564779632447"/>
          <c:h val="0.70248491263057988"/>
        </c:manualLayout>
      </c:layout>
      <c:lineChart>
        <c:grouping val="standard"/>
        <c:varyColors val="0"/>
        <c:ser>
          <c:idx val="2"/>
          <c:order val="0"/>
          <c:tx>
            <c:v>Geotermico</c:v>
          </c:tx>
          <c:spPr>
            <a:ln>
              <a:solidFill>
                <a:schemeClr val="accent6">
                  <a:lumMod val="7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1.4875346260387811E-2</c:v>
              </c:pt>
              <c:pt idx="1">
                <c:v>1.434519073197891E-2</c:v>
              </c:pt>
              <c:pt idx="2">
                <c:v>1.5288127502718183E-2</c:v>
              </c:pt>
              <c:pt idx="3">
                <c:v>1.6458559617956749E-2</c:v>
              </c:pt>
              <c:pt idx="4">
                <c:v>1.4741642714139478E-2</c:v>
              </c:pt>
              <c:pt idx="5">
                <c:v>1.4226776204064545E-2</c:v>
              </c:pt>
              <c:pt idx="6">
                <c:v>1.539243886942651E-2</c:v>
              </c:pt>
              <c:pt idx="7">
                <c:v>1.552949896965759E-2</c:v>
              </c:pt>
              <c:pt idx="8">
                <c:v>1.6219389208372785E-2</c:v>
              </c:pt>
              <c:pt idx="9">
                <c:v>1.6572736799628996E-2</c:v>
              </c:pt>
              <c:pt idx="10">
                <c:v>1.7008244943018475E-2</c:v>
              </c:pt>
              <c:pt idx="11">
                <c:v>1.61521902909086E-2</c:v>
              </c:pt>
              <c:pt idx="12">
                <c:v>1.6343074515698438E-2</c:v>
              </c:pt>
              <c:pt idx="13">
                <c:v>1.8172142128234991E-2</c:v>
              </c:pt>
              <c:pt idx="14">
                <c:v>1.79242863481636E-2</c:v>
              </c:pt>
              <c:pt idx="15">
                <c:v>1.7532225280451393E-2</c:v>
              </c:pt>
              <c:pt idx="16">
                <c:v>1.7596297500118579E-2</c:v>
              </c:pt>
              <c:pt idx="17">
                <c:v>1.7742327035329183E-2</c:v>
              </c:pt>
              <c:pt idx="18">
                <c:v>1.7297988027434624E-2</c:v>
              </c:pt>
              <c:pt idx="19">
                <c:v>1.8253665050816249E-2</c:v>
              </c:pt>
              <c:pt idx="20">
                <c:v>1.7797334905460496E-2</c:v>
              </c:pt>
              <c:pt idx="21">
                <c:v>1.8686930411831618E-2</c:v>
              </c:pt>
              <c:pt idx="22">
                <c:v>1.868407845328162E-2</c:v>
              </c:pt>
              <c:pt idx="23">
                <c:v>1.9527687515592439E-2</c:v>
              </c:pt>
              <c:pt idx="24">
                <c:v>2.1142615361854165E-2</c:v>
              </c:pt>
              <c:pt idx="25">
                <c:v>2.185559476723703E-2</c:v>
              </c:pt>
              <c:pt idx="26">
                <c:v>2.1702174358677041E-2</c:v>
              </c:pt>
              <c:pt idx="27">
                <c:v>2.096203949271137E-2</c:v>
              </c:pt>
              <c:pt idx="28">
                <c:v>2.1074289669527978E-2</c:v>
              </c:pt>
              <c:pt idx="29">
                <c:v>2.0673248631181959E-2</c:v>
              </c:pt>
              <c:pt idx="30">
                <c:v>2.1481090144279021E-2</c:v>
              </c:pt>
              <c:pt idx="31">
                <c:v>2.0458055506092105E-2</c:v>
              </c:pt>
              <c:pt idx="32">
                <c:v>2.0555256899037599E-2</c:v>
              </c:pt>
              <c:pt idx="33">
                <c:v>2.1503676389477259E-2</c:v>
              </c:pt>
              <c:pt idx="34">
                <c:v>2.0756694169518631E-2</c:v>
              </c:pt>
            </c:numLit>
          </c:val>
          <c:smooth val="1"/>
          <c:extLst>
            <c:ext xmlns:c16="http://schemas.microsoft.com/office/drawing/2014/chart" uri="{C3380CC4-5D6E-409C-BE32-E72D297353CC}">
              <c16:uniqueId val="{00000000-7077-45DF-A6CA-98D12BF1872B}"/>
            </c:ext>
          </c:extLst>
        </c:ser>
        <c:dLbls>
          <c:showLegendKey val="0"/>
          <c:showVal val="0"/>
          <c:showCatName val="0"/>
          <c:showSerName val="0"/>
          <c:showPercent val="0"/>
          <c:showBubbleSize val="0"/>
        </c:dLbls>
        <c:smooth val="0"/>
        <c:axId val="166944128"/>
        <c:axId val="166966400"/>
      </c:lineChart>
      <c:dateAx>
        <c:axId val="16694412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66400"/>
        <c:crosses val="autoZero"/>
        <c:auto val="0"/>
        <c:lblOffset val="100"/>
        <c:baseTimeUnit val="days"/>
        <c:majorUnit val="1"/>
        <c:majorTimeUnit val="days"/>
      </c:dateAx>
      <c:valAx>
        <c:axId val="166966400"/>
        <c:scaling>
          <c:orientation val="minMax"/>
          <c:min val="0"/>
        </c:scaling>
        <c:delete val="0"/>
        <c:axPos val="l"/>
        <c:majorGridlines>
          <c:spPr>
            <a:ln>
              <a:prstDash val="dash"/>
            </a:ln>
          </c:spPr>
        </c:majorGridlines>
        <c:numFmt formatCode="0.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44128"/>
        <c:crosses val="autoZero"/>
        <c:crossBetween val="between"/>
      </c:valAx>
    </c:plotArea>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3410022040341"/>
          <c:y val="0.11240961716326887"/>
          <c:w val="0.84001042048773578"/>
          <c:h val="0.70632252018851804"/>
        </c:manualLayout>
      </c:layout>
      <c:lineChart>
        <c:grouping val="standard"/>
        <c:varyColors val="0"/>
        <c:ser>
          <c:idx val="1"/>
          <c:order val="0"/>
          <c:tx>
            <c:v>Fotovoltaico</c:v>
          </c:tx>
          <c:spPr>
            <a:ln>
              <a:solidFill>
                <a:srgbClr val="FF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1.8467220683287167E-5</c:v>
              </c:pt>
              <c:pt idx="1">
                <c:v>2.254115451285184E-5</c:v>
              </c:pt>
              <c:pt idx="2">
                <c:v>3.9778302262059455E-5</c:v>
              </c:pt>
              <c:pt idx="3">
                <c:v>4.9371190563818996E-5</c:v>
              </c:pt>
              <c:pt idx="4">
                <c:v>4.7452102494815863E-5</c:v>
              </c:pt>
              <c:pt idx="5">
                <c:v>5.3832835793700981E-5</c:v>
              </c:pt>
              <c:pt idx="6">
                <c:v>5.7275713420149674E-5</c:v>
              </c:pt>
              <c:pt idx="7">
                <c:v>5.9649309777953456E-5</c:v>
              </c:pt>
              <c:pt idx="8">
                <c:v>6.1587257596403292E-5</c:v>
              </c:pt>
              <c:pt idx="9">
                <c:v>6.3991760872576591E-5</c:v>
              </c:pt>
              <c:pt idx="10">
                <c:v>6.5065971472909239E-5</c:v>
              </c:pt>
              <c:pt idx="11">
                <c:v>6.8098259336808983E-5</c:v>
              </c:pt>
              <c:pt idx="12">
                <c:v>7.3612715790418297E-5</c:v>
              </c:pt>
              <c:pt idx="13">
                <c:v>8.1664902364505162E-5</c:v>
              </c:pt>
              <c:pt idx="14">
                <c:v>9.5599710168051119E-5</c:v>
              </c:pt>
              <c:pt idx="15">
                <c:v>1.0207512136238018E-4</c:v>
              </c:pt>
              <c:pt idx="16">
                <c:v>1.1142135769152771E-4</c:v>
              </c:pt>
              <c:pt idx="17">
                <c:v>1.2424821863098851E-4</c:v>
              </c:pt>
              <c:pt idx="18">
                <c:v>6.0476997433017818E-4</c:v>
              </c:pt>
              <c:pt idx="19">
                <c:v>2.3116935128378435E-3</c:v>
              </c:pt>
              <c:pt idx="20">
                <c:v>6.3089680108142018E-3</c:v>
              </c:pt>
              <c:pt idx="21">
                <c:v>3.5678774498525127E-2</c:v>
              </c:pt>
              <c:pt idx="22">
                <c:v>6.3024390178704495E-2</c:v>
              </c:pt>
              <c:pt idx="23">
                <c:v>7.449382151171878E-2</c:v>
              </c:pt>
              <c:pt idx="24">
                <c:v>7.9714624901993436E-2</c:v>
              </c:pt>
              <c:pt idx="25">
                <c:v>8.1069591959402651E-2</c:v>
              </c:pt>
              <c:pt idx="26">
                <c:v>7.6282697687323861E-2</c:v>
              </c:pt>
              <c:pt idx="27">
                <c:v>8.240442336023189E-2</c:v>
              </c:pt>
              <c:pt idx="28">
                <c:v>7.8195162203222215E-2</c:v>
              </c:pt>
              <c:pt idx="29">
                <c:v>8.0614745839307042E-2</c:v>
              </c:pt>
              <c:pt idx="30">
                <c:v>8.8908187527529478E-2</c:v>
              </c:pt>
              <c:pt idx="31">
                <c:v>8.661930599902605E-2</c:v>
              </c:pt>
              <c:pt idx="32">
                <c:v>9.9032818257343086E-2</c:v>
              </c:pt>
              <c:pt idx="33">
                <c:v>0.11601868450948227</c:v>
              </c:pt>
              <c:pt idx="34">
                <c:v>0.1349041269270409</c:v>
              </c:pt>
            </c:numLit>
          </c:val>
          <c:smooth val="1"/>
          <c:extLst>
            <c:ext xmlns:c16="http://schemas.microsoft.com/office/drawing/2014/chart" uri="{C3380CC4-5D6E-409C-BE32-E72D297353CC}">
              <c16:uniqueId val="{00000000-29B6-4C30-8DDA-D3EB74BE0E2C}"/>
            </c:ext>
          </c:extLst>
        </c:ser>
        <c:ser>
          <c:idx val="0"/>
          <c:order val="1"/>
          <c:tx>
            <c:v>Eolico</c:v>
          </c:tx>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9.2336103416435834E-6</c:v>
              </c:pt>
              <c:pt idx="1">
                <c:v>1.3524692707711104E-5</c:v>
              </c:pt>
              <c:pt idx="2">
                <c:v>8.8396227249021018E-6</c:v>
              </c:pt>
              <c:pt idx="3">
                <c:v>1.7953160205025091E-5</c:v>
              </c:pt>
              <c:pt idx="4">
                <c:v>2.7177113247030901E-5</c:v>
              </c:pt>
              <c:pt idx="5">
                <c:v>4.0995774950587672E-5</c:v>
              </c:pt>
              <c:pt idx="6">
                <c:v>1.3377970205992104E-4</c:v>
              </c:pt>
              <c:pt idx="7">
                <c:v>4.6844591278952783E-4</c:v>
              </c:pt>
              <c:pt idx="8">
                <c:v>8.918604740679152E-4</c:v>
              </c:pt>
              <c:pt idx="9">
                <c:v>1.5150990441889457E-3</c:v>
              </c:pt>
              <c:pt idx="10">
                <c:v>2.0354804742441775E-3</c:v>
              </c:pt>
              <c:pt idx="11">
                <c:v>4.2242425502296349E-3</c:v>
              </c:pt>
              <c:pt idx="12">
                <c:v>4.9222369291859703E-3</c:v>
              </c:pt>
              <c:pt idx="13">
                <c:v>4.9625039003497635E-3</c:v>
              </c:pt>
              <c:pt idx="14">
                <c:v>6.0870643043209102E-3</c:v>
              </c:pt>
              <c:pt idx="15">
                <c:v>7.7162206258258618E-3</c:v>
              </c:pt>
              <c:pt idx="16">
                <c:v>9.4571264941206105E-3</c:v>
              </c:pt>
              <c:pt idx="17">
                <c:v>1.2853000339611795E-2</c:v>
              </c:pt>
              <c:pt idx="18">
                <c:v>1.5232996249799456E-2</c:v>
              </c:pt>
              <c:pt idx="19">
                <c:v>2.2357988891569439E-2</c:v>
              </c:pt>
              <c:pt idx="20">
                <c:v>3.0212001453476058E-2</c:v>
              </c:pt>
              <c:pt idx="21">
                <c:v>3.2574476223613383E-2</c:v>
              </c:pt>
              <c:pt idx="22">
                <c:v>4.4798416980702117E-2</c:v>
              </c:pt>
              <c:pt idx="23">
                <c:v>5.1403725070642593E-2</c:v>
              </c:pt>
              <c:pt idx="24">
                <c:v>5.4241495317484081E-2</c:v>
              </c:pt>
              <c:pt idx="25">
                <c:v>5.2453074076861721E-2</c:v>
              </c:pt>
              <c:pt idx="26">
                <c:v>6.1044310590327028E-2</c:v>
              </c:pt>
              <c:pt idx="27">
                <c:v>5.9973296857984887E-2</c:v>
              </c:pt>
              <c:pt idx="28">
                <c:v>6.1152511793039849E-2</c:v>
              </c:pt>
              <c:pt idx="29">
                <c:v>6.8748616248356015E-2</c:v>
              </c:pt>
              <c:pt idx="30">
                <c:v>6.687872664232411E-2</c:v>
              </c:pt>
              <c:pt idx="31">
                <c:v>7.2395391286929095E-2</c:v>
              </c:pt>
              <c:pt idx="32">
                <c:v>7.2172479559399066E-2</c:v>
              </c:pt>
              <c:pt idx="33">
                <c:v>8.930776530786641E-2</c:v>
              </c:pt>
              <c:pt idx="34">
                <c:v>8.2090208790842015E-2</c:v>
              </c:pt>
            </c:numLit>
          </c:val>
          <c:smooth val="1"/>
          <c:extLst>
            <c:ext xmlns:c16="http://schemas.microsoft.com/office/drawing/2014/chart" uri="{C3380CC4-5D6E-409C-BE32-E72D297353CC}">
              <c16:uniqueId val="{00000001-29B6-4C30-8DDA-D3EB74BE0E2C}"/>
            </c:ext>
          </c:extLst>
        </c:ser>
        <c:ser>
          <c:idx val="2"/>
          <c:order val="2"/>
          <c:tx>
            <c:v>Biomasse e rifiuti</c:v>
          </c:tx>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2.3776546629732226E-4</c:v>
              </c:pt>
              <c:pt idx="1">
                <c:v>4.5893790588166349E-4</c:v>
              </c:pt>
              <c:pt idx="2">
                <c:v>4.0662264534549664E-4</c:v>
              </c:pt>
              <c:pt idx="3">
                <c:v>4.6678216533065233E-4</c:v>
              </c:pt>
              <c:pt idx="4">
                <c:v>8.2113706453529084E-4</c:v>
              </c:pt>
              <c:pt idx="5">
                <c:v>1.2543050739932328E-3</c:v>
              </c:pt>
              <c:pt idx="6">
                <c:v>1.9805123476210329E-3</c:v>
              </c:pt>
              <c:pt idx="7">
                <c:v>2.7603712254910934E-3</c:v>
              </c:pt>
              <c:pt idx="8">
                <c:v>3.8357313871759929E-3</c:v>
              </c:pt>
              <c:pt idx="9">
                <c:v>5.6305221125411802E-3</c:v>
              </c:pt>
              <c:pt idx="10">
                <c:v>5.4386115210869777E-3</c:v>
              </c:pt>
              <c:pt idx="11">
                <c:v>7.0175256246581656E-3</c:v>
              </c:pt>
              <c:pt idx="12">
                <c:v>9.4944629216255939E-3</c:v>
              </c:pt>
              <c:pt idx="13">
                <c:v>1.2205670334441594E-2</c:v>
              </c:pt>
              <c:pt idx="14">
                <c:v>1.483081158879466E-2</c:v>
              </c:pt>
              <c:pt idx="15">
                <c:v>1.595351828247742E-2</c:v>
              </c:pt>
              <c:pt idx="16">
                <c:v>1.6828763518992089E-2</c:v>
              </c:pt>
              <c:pt idx="17">
                <c:v>1.7335015887842722E-2</c:v>
              </c:pt>
              <c:pt idx="18">
                <c:v>1.8695696043237609E-2</c:v>
              </c:pt>
              <c:pt idx="19">
                <c:v>2.5822351222959332E-2</c:v>
              </c:pt>
              <c:pt idx="20">
                <c:v>3.1252151875534998E-2</c:v>
              </c:pt>
              <c:pt idx="21">
                <c:v>3.5800064551425433E-2</c:v>
              </c:pt>
              <c:pt idx="22">
                <c:v>4.1723999435972527E-2</c:v>
              </c:pt>
              <c:pt idx="23">
                <c:v>5.8971601141323493E-2</c:v>
              </c:pt>
              <c:pt idx="24">
                <c:v>6.694321730261639E-2</c:v>
              </c:pt>
              <c:pt idx="25">
                <c:v>6.8537519713322434E-2</c:v>
              </c:pt>
              <c:pt idx="26">
                <c:v>6.732484793017314E-2</c:v>
              </c:pt>
              <c:pt idx="27">
                <c:v>6.5559951484444948E-2</c:v>
              </c:pt>
              <c:pt idx="28">
                <c:v>6.6282496610881828E-2</c:v>
              </c:pt>
              <c:pt idx="29">
                <c:v>6.6573040049584892E-2</c:v>
              </c:pt>
              <c:pt idx="30">
                <c:v>6.9987983574607546E-2</c:v>
              </c:pt>
              <c:pt idx="31">
                <c:v>6.5972991272019874E-2</c:v>
              </c:pt>
              <c:pt idx="32">
                <c:v>6.203589139475861E-2</c:v>
              </c:pt>
              <c:pt idx="33">
                <c:v>6.0510020127271004E-2</c:v>
              </c:pt>
              <c:pt idx="34">
                <c:v>5.3319660809276484E-2</c:v>
              </c:pt>
            </c:numLit>
          </c:val>
          <c:smooth val="0"/>
          <c:extLst>
            <c:ext xmlns:c16="http://schemas.microsoft.com/office/drawing/2014/chart" uri="{C3380CC4-5D6E-409C-BE32-E72D297353CC}">
              <c16:uniqueId val="{00000002-29B6-4C30-8DDA-D3EB74BE0E2C}"/>
            </c:ext>
          </c:extLst>
        </c:ser>
        <c:dLbls>
          <c:showLegendKey val="0"/>
          <c:showVal val="0"/>
          <c:showCatName val="0"/>
          <c:showSerName val="0"/>
          <c:showPercent val="0"/>
          <c:showBubbleSize val="0"/>
        </c:dLbls>
        <c:smooth val="0"/>
        <c:axId val="167187968"/>
        <c:axId val="167189504"/>
      </c:lineChart>
      <c:dateAx>
        <c:axId val="1671879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7189504"/>
        <c:crosses val="autoZero"/>
        <c:auto val="0"/>
        <c:lblOffset val="100"/>
        <c:baseTimeUnit val="days"/>
        <c:majorUnit val="1"/>
        <c:majorTimeUnit val="days"/>
      </c:dateAx>
      <c:valAx>
        <c:axId val="167189504"/>
        <c:scaling>
          <c:orientation val="minMax"/>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7187968"/>
        <c:crosses val="autoZero"/>
        <c:crossBetween val="between"/>
      </c:valAx>
    </c:plotArea>
    <c:legend>
      <c:legendPos val="b"/>
      <c:layout>
        <c:manualLayout>
          <c:xMode val="edge"/>
          <c:yMode val="edge"/>
          <c:x val="0.15012461129006144"/>
          <c:y val="5.7817454391158934E-3"/>
          <c:w val="0.76512949013461551"/>
          <c:h val="7.9350673921662937E-2"/>
        </c:manualLayout>
      </c:layout>
      <c:overlay val="0"/>
      <c:txPr>
        <a:bodyPr/>
        <a:lstStyle/>
        <a:p>
          <a:pPr>
            <a:defRPr sz="1050"/>
          </a:pPr>
          <a:endParaRPr lang="it-IT"/>
        </a:p>
      </c:txPr>
    </c:legend>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83267949790248"/>
          <c:y val="3.2300805768829856E-2"/>
          <c:w val="0.86215330833808168"/>
          <c:h val="0.79556229712428839"/>
        </c:manualLayout>
      </c:layout>
      <c:lineChart>
        <c:grouping val="standard"/>
        <c:varyColors val="0"/>
        <c:ser>
          <c:idx val="6"/>
          <c:order val="0"/>
          <c:tx>
            <c:strRef>
              <c:f>'7'!$A$33</c:f>
              <c:strCache>
                <c:ptCount val="1"/>
                <c:pt idx="0">
                  <c:v>fattore conversione di tutta la produzione nazionale</c:v>
                </c:pt>
              </c:strCache>
            </c:strRef>
          </c:tx>
          <c:spPr>
            <a:ln w="50800">
              <a:solidFill>
                <a:schemeClr val="accent2">
                  <a:lumMod val="75000"/>
                </a:schemeClr>
              </a:solidFill>
            </a:ln>
          </c:spPr>
          <c:marker>
            <c:symbol val="none"/>
          </c:marker>
          <c:cat>
            <c:strRef>
              <c:f>'7'!$Q$4:$AJ$4</c:f>
              <c:strCach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Cache>
            </c:strRef>
          </c:cat>
          <c:val>
            <c:numRef>
              <c:f>'7'!$Q$33:$AJ$33</c:f>
              <c:numCache>
                <c:formatCode>0.00</c:formatCode>
                <c:ptCount val="20"/>
                <c:pt idx="0">
                  <c:v>0.44829390260366397</c:v>
                </c:pt>
                <c:pt idx="1">
                  <c:v>0.45142537102651087</c:v>
                </c:pt>
                <c:pt idx="2">
                  <c:v>0.45269166187177917</c:v>
                </c:pt>
                <c:pt idx="3">
                  <c:v>0.46533390493978627</c:v>
                </c:pt>
                <c:pt idx="4">
                  <c:v>0.47478374780769422</c:v>
                </c:pt>
                <c:pt idx="5">
                  <c:v>0.47690623466663884</c:v>
                </c:pt>
                <c:pt idx="6">
                  <c:v>0.47584290795004097</c:v>
                </c:pt>
                <c:pt idx="7">
                  <c:v>0.48194244787971041</c:v>
                </c:pt>
                <c:pt idx="8">
                  <c:v>0.49583478705432993</c:v>
                </c:pt>
                <c:pt idx="9">
                  <c:v>0.50017770407166118</c:v>
                </c:pt>
                <c:pt idx="10">
                  <c:v>0.49715649989512367</c:v>
                </c:pt>
                <c:pt idx="11">
                  <c:v>0.50405057413724297</c:v>
                </c:pt>
                <c:pt idx="12">
                  <c:v>0.50660325222893132</c:v>
                </c:pt>
                <c:pt idx="13">
                  <c:v>0.51594901266226301</c:v>
                </c:pt>
                <c:pt idx="14">
                  <c:v>0.52229113076789879</c:v>
                </c:pt>
                <c:pt idx="15">
                  <c:v>0.52616285370925475</c:v>
                </c:pt>
                <c:pt idx="16">
                  <c:v>0.52836207090111953</c:v>
                </c:pt>
                <c:pt idx="17">
                  <c:v>0.51586311888089076</c:v>
                </c:pt>
                <c:pt idx="18">
                  <c:v>0.54324570962969232</c:v>
                </c:pt>
                <c:pt idx="19">
                  <c:v>0.55273515239327276</c:v>
                </c:pt>
              </c:numCache>
            </c:numRef>
          </c:val>
          <c:smooth val="1"/>
          <c:extLst>
            <c:ext xmlns:c16="http://schemas.microsoft.com/office/drawing/2014/chart" uri="{C3380CC4-5D6E-409C-BE32-E72D297353CC}">
              <c16:uniqueId val="{00000006-7FB4-41BD-A3E8-ECA33B52287C}"/>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sz="1400" b="1"/>
            </a:pPr>
            <a:endParaRPr lang="it-IT"/>
          </a:p>
        </c:txPr>
        <c:crossAx val="146916096"/>
        <c:crosses val="autoZero"/>
        <c:auto val="1"/>
        <c:lblAlgn val="ctr"/>
        <c:lblOffset val="100"/>
        <c:noMultiLvlLbl val="0"/>
      </c:catAx>
      <c:valAx>
        <c:axId val="146916096"/>
        <c:scaling>
          <c:orientation val="minMax"/>
          <c:min val="0.44000000000000006"/>
        </c:scaling>
        <c:delete val="0"/>
        <c:axPos val="l"/>
        <c:majorGridlines>
          <c:spPr>
            <a:ln>
              <a:solidFill>
                <a:schemeClr val="bg1">
                  <a:lumMod val="85000"/>
                </a:schemeClr>
              </a:solidFill>
              <a:prstDash val="dash"/>
            </a:ln>
          </c:spPr>
        </c:majorGridlines>
        <c:numFmt formatCode="#,##0.00" sourceLinked="0"/>
        <c:majorTickMark val="out"/>
        <c:minorTickMark val="none"/>
        <c:tickLblPos val="nextTo"/>
        <c:txPr>
          <a:bodyPr/>
          <a:lstStyle/>
          <a:p>
            <a:pPr>
              <a:defRPr sz="1400" b="1"/>
            </a:pPr>
            <a:endParaRPr lang="it-IT"/>
          </a:p>
        </c:txPr>
        <c:crossAx val="146884864"/>
        <c:crosses val="autoZero"/>
        <c:crossBetween val="between"/>
        <c:majorUnit val="2.0000000000000004E-2"/>
      </c:valAx>
    </c:plotArea>
    <c:plotVisOnly val="1"/>
    <c:dispBlanksAs val="gap"/>
    <c:showDLblsOverMax val="0"/>
  </c:chart>
  <c:spPr>
    <a:ln>
      <a:noFill/>
    </a:ln>
  </c:spPr>
  <c:printSettings>
    <c:headerFooter/>
    <c:pageMargins b="0.75000000000001033" l="0.70000000000000062" r="0.70000000000000062" t="0.75000000000001033"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60855641065"/>
          <c:h val="0.72432435895314162"/>
        </c:manualLayout>
      </c:layout>
      <c:lineChart>
        <c:grouping val="standard"/>
        <c:varyColors val="0"/>
        <c:ser>
          <c:idx val="2"/>
          <c:order val="0"/>
          <c:tx>
            <c:v> solidi</c:v>
          </c:tx>
          <c:spPr>
            <a:ln w="28575">
              <a:solidFill>
                <a:srgbClr val="C0000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0.22232279348152531</c:v>
              </c:pt>
              <c:pt idx="1">
                <c:v>0.20490936895973888</c:v>
              </c:pt>
              <c:pt idx="2">
                <c:v>0.15365479888872449</c:v>
              </c:pt>
              <c:pt idx="3">
                <c:v>0.12221615453974885</c:v>
              </c:pt>
              <c:pt idx="4">
                <c:v>0.14136530130335451</c:v>
              </c:pt>
              <c:pt idx="5">
                <c:v>0.15603639241570078</c:v>
              </c:pt>
              <c:pt idx="6">
                <c:v>0.14635141265559062</c:v>
              </c:pt>
              <c:pt idx="7">
                <c:v>0.13425382189289906</c:v>
              </c:pt>
              <c:pt idx="8">
                <c:v>0.1478270392167004</c:v>
              </c:pt>
              <c:pt idx="9">
                <c:v>0.15265643049422148</c:v>
              </c:pt>
              <c:pt idx="10">
                <c:v>0.16021342218546222</c:v>
              </c:pt>
              <c:pt idx="11">
                <c:v>0.20419728219434161</c:v>
              </c:pt>
              <c:pt idx="12">
                <c:v>0.21670089365337347</c:v>
              </c:pt>
              <c:pt idx="13">
                <c:v>0.24127135087159482</c:v>
              </c:pt>
              <c:pt idx="14">
                <c:v>0.28670724193370561</c:v>
              </c:pt>
              <c:pt idx="15">
                <c:v>0.27712419517734188</c:v>
              </c:pt>
              <c:pt idx="16">
                <c:v>0.26940450866154031</c:v>
              </c:pt>
              <c:pt idx="17">
                <c:v>0.27859643895823361</c:v>
              </c:pt>
              <c:pt idx="18">
                <c:v>0.28380370936079752</c:v>
              </c:pt>
              <c:pt idx="19">
                <c:v>0.302132418136555</c:v>
              </c:pt>
              <c:pt idx="20">
                <c:v>0.29038649884316298</c:v>
              </c:pt>
              <c:pt idx="21">
                <c:v>0.32678996591637527</c:v>
              </c:pt>
              <c:pt idx="22">
                <c:v>0.36603714959302558</c:v>
              </c:pt>
              <c:pt idx="23">
                <c:v>0.40337258389061392</c:v>
              </c:pt>
              <c:pt idx="24">
                <c:v>0.41852459235320771</c:v>
              </c:pt>
              <c:pt idx="25">
                <c:v>0.41112667083778726</c:v>
              </c:pt>
              <c:pt idx="26">
                <c:v>0.33968561196449848</c:v>
              </c:pt>
              <c:pt idx="27">
                <c:v>0.3010075528463137</c:v>
              </c:pt>
              <c:pt idx="28">
                <c:v>0.29064672828504562</c:v>
              </c:pt>
              <c:pt idx="29">
                <c:v>0.2080008640867099</c:v>
              </c:pt>
              <c:pt idx="30">
                <c:v>0.16886128076867538</c:v>
              </c:pt>
              <c:pt idx="31">
                <c:v>0.1681632195213619</c:v>
              </c:pt>
              <c:pt idx="32">
                <c:v>0.24312801959863986</c:v>
              </c:pt>
              <c:pt idx="33">
                <c:v>0.17974436904561392</c:v>
              </c:pt>
              <c:pt idx="34">
                <c:v>6.020158586117752E-2</c:v>
              </c:pt>
            </c:numLit>
          </c:val>
          <c:smooth val="1"/>
          <c:extLst>
            <c:ext xmlns:c16="http://schemas.microsoft.com/office/drawing/2014/chart" uri="{C3380CC4-5D6E-409C-BE32-E72D297353CC}">
              <c16:uniqueId val="{00000000-2349-4410-ABDD-5D296453A30E}"/>
            </c:ext>
          </c:extLst>
        </c:ser>
        <c:ser>
          <c:idx val="3"/>
          <c:order val="1"/>
          <c:tx>
            <c:v> gas naturale</c:v>
          </c:tx>
          <c:spPr>
            <a:ln w="28575">
              <a:solidFill>
                <a:schemeClr val="accent1"/>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0.16805316938150092</c:v>
              </c:pt>
              <c:pt idx="1">
                <c:v>0.15991355116695635</c:v>
              </c:pt>
              <c:pt idx="2">
                <c:v>0.1543499064412609</c:v>
              </c:pt>
              <c:pt idx="3">
                <c:v>0.1790973780093546</c:v>
              </c:pt>
              <c:pt idx="4">
                <c:v>0.17327223572633416</c:v>
              </c:pt>
              <c:pt idx="5">
                <c:v>0.18457055384367022</c:v>
              </c:pt>
              <c:pt idx="6">
                <c:v>0.19851845173873325</c:v>
              </c:pt>
              <c:pt idx="7">
                <c:v>0.23165300405088099</c:v>
              </c:pt>
              <c:pt idx="8">
                <c:v>0.26145190051850697</c:v>
              </c:pt>
              <c:pt idx="9">
                <c:v>0.32510083645568044</c:v>
              </c:pt>
              <c:pt idx="10">
                <c:v>0.3526493137156872</c:v>
              </c:pt>
              <c:pt idx="11">
                <c:v>0.34777070986090186</c:v>
              </c:pt>
              <c:pt idx="12">
                <c:v>0.32935108627371046</c:v>
              </c:pt>
              <c:pt idx="13">
                <c:v>0.3431153682432686</c:v>
              </c:pt>
              <c:pt idx="14">
                <c:v>0.35948808810878413</c:v>
              </c:pt>
              <c:pt idx="15">
                <c:v>0.41303157157728276</c:v>
              </c:pt>
              <c:pt idx="16">
                <c:v>0.41787715445748486</c:v>
              </c:pt>
              <c:pt idx="17">
                <c:v>0.45818142377393734</c:v>
              </c:pt>
              <c:pt idx="18">
                <c:v>0.47653616469810794</c:v>
              </c:pt>
              <c:pt idx="19">
                <c:v>0.48123623461126203</c:v>
              </c:pt>
              <c:pt idx="20">
                <c:v>0.4907198172983912</c:v>
              </c:pt>
              <c:pt idx="21">
                <c:v>0.46459583652658198</c:v>
              </c:pt>
              <c:pt idx="22">
                <c:v>0.43223727714704901</c:v>
              </c:pt>
              <c:pt idx="23">
                <c:v>0.41357510934351593</c:v>
              </c:pt>
              <c:pt idx="24">
                <c:v>0.38737405252163254</c:v>
              </c:pt>
              <c:pt idx="25">
                <c:v>0.43092082435041607</c:v>
              </c:pt>
              <c:pt idx="26">
                <c:v>0.49771092896225427</c:v>
              </c:pt>
              <c:pt idx="27">
                <c:v>0.55173290963745092</c:v>
              </c:pt>
              <c:pt idx="28">
                <c:v>0.54795703934395468</c:v>
              </c:pt>
              <c:pt idx="29">
                <c:v>0.63591932630084813</c:v>
              </c:pt>
              <c:pt idx="30">
                <c:v>0.67633526912935948</c:v>
              </c:pt>
              <c:pt idx="31">
                <c:v>0.68840751901219888</c:v>
              </c:pt>
              <c:pt idx="32">
                <c:v>0.60305553468876361</c:v>
              </c:pt>
              <c:pt idx="33">
                <c:v>0.65575848525917102</c:v>
              </c:pt>
              <c:pt idx="34">
                <c:v>0.78140077910739703</c:v>
              </c:pt>
            </c:numLit>
          </c:val>
          <c:smooth val="1"/>
          <c:extLst>
            <c:ext xmlns:c16="http://schemas.microsoft.com/office/drawing/2014/chart" uri="{C3380CC4-5D6E-409C-BE32-E72D297353CC}">
              <c16:uniqueId val="{00000001-2349-4410-ABDD-5D296453A30E}"/>
            </c:ext>
          </c:extLst>
        </c:ser>
        <c:ser>
          <c:idx val="4"/>
          <c:order val="2"/>
          <c:tx>
            <c:v> gas derivati </c:v>
          </c:tx>
          <c:spPr>
            <a:ln w="28575">
              <a:solidFill>
                <a:srgbClr val="7030A0"/>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5.3383167230400791E-2</c:v>
              </c:pt>
              <c:pt idx="1">
                <c:v>5.3191996582379074E-2</c:v>
              </c:pt>
              <c:pt idx="2">
                <c:v>5.0679685848263434E-2</c:v>
              </c:pt>
              <c:pt idx="3">
                <c:v>4.9794897094277202E-2</c:v>
              </c:pt>
              <c:pt idx="4">
                <c:v>4.4164677498166292E-2</c:v>
              </c:pt>
              <c:pt idx="5">
                <c:v>4.7921854897265262E-2</c:v>
              </c:pt>
              <c:pt idx="6">
                <c:v>4.6698290769997625E-2</c:v>
              </c:pt>
              <c:pt idx="7">
                <c:v>5.3762288230444738E-2</c:v>
              </c:pt>
              <c:pt idx="8">
                <c:v>6.0455826242859896E-2</c:v>
              </c:pt>
              <c:pt idx="9">
                <c:v>5.2957775739355409E-2</c:v>
              </c:pt>
              <c:pt idx="10">
                <c:v>4.5597949679105812E-2</c:v>
              </c:pt>
              <c:pt idx="11">
                <c:v>5.0357972300401836E-2</c:v>
              </c:pt>
              <c:pt idx="12">
                <c:v>4.7062128517452152E-2</c:v>
              </c:pt>
              <c:pt idx="13">
                <c:v>4.6192107789491087E-2</c:v>
              </c:pt>
              <c:pt idx="14">
                <c:v>6.6676570479142688E-2</c:v>
              </c:pt>
              <c:pt idx="15">
                <c:v>7.6560581495345961E-2</c:v>
              </c:pt>
              <c:pt idx="16">
                <c:v>7.8876196499244114E-2</c:v>
              </c:pt>
              <c:pt idx="17">
                <c:v>6.9155455723709722E-2</c:v>
              </c:pt>
              <c:pt idx="18">
                <c:v>6.5741873134710027E-2</c:v>
              </c:pt>
              <c:pt idx="19">
                <c:v>4.9660756965869031E-2</c:v>
              </c:pt>
              <c:pt idx="20">
                <c:v>6.4286392141522486E-2</c:v>
              </c:pt>
              <c:pt idx="21">
                <c:v>7.3785355717259332E-2</c:v>
              </c:pt>
              <c:pt idx="22">
                <c:v>6.4206197873640805E-2</c:v>
              </c:pt>
              <c:pt idx="23">
                <c:v>5.5477276461964112E-2</c:v>
              </c:pt>
              <c:pt idx="24">
                <c:v>6.0513475419588597E-2</c:v>
              </c:pt>
              <c:pt idx="25">
                <c:v>3.7588876220235247E-2</c:v>
              </c:pt>
              <c:pt idx="26">
                <c:v>4.885020939682027E-2</c:v>
              </c:pt>
              <c:pt idx="27">
                <c:v>3.9223769013908706E-2</c:v>
              </c:pt>
              <c:pt idx="28">
                <c:v>4.737757142469011E-2</c:v>
              </c:pt>
              <c:pt idx="29">
                <c:v>4.1467456839962599E-2</c:v>
              </c:pt>
              <c:pt idx="30">
                <c:v>3.1302140284244072E-2</c:v>
              </c:pt>
              <c:pt idx="31">
                <c:v>4.2872363692021291E-2</c:v>
              </c:pt>
              <c:pt idx="32">
                <c:v>2.9392416923201981E-2</c:v>
              </c:pt>
              <c:pt idx="33">
                <c:v>2.3708475550522714E-2</c:v>
              </c:pt>
              <c:pt idx="34">
                <c:v>2.6042412860108298E-2</c:v>
              </c:pt>
            </c:numLit>
          </c:val>
          <c:smooth val="1"/>
          <c:extLst>
            <c:ext xmlns:c16="http://schemas.microsoft.com/office/drawing/2014/chart" uri="{C3380CC4-5D6E-409C-BE32-E72D297353CC}">
              <c16:uniqueId val="{00000002-2349-4410-ABDD-5D296453A30E}"/>
            </c:ext>
          </c:extLst>
        </c:ser>
        <c:ser>
          <c:idx val="5"/>
          <c:order val="3"/>
          <c:tx>
            <c:v> prodotti petroliferi</c:v>
          </c:tx>
          <c:spPr>
            <a:ln w="28575">
              <a:solidFill>
                <a:schemeClr val="tx1">
                  <a:lumMod val="50000"/>
                  <a:lumOff val="50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0.55540585635125816</c:v>
              </c:pt>
              <c:pt idx="1">
                <c:v>0.58091577096746061</c:v>
              </c:pt>
              <c:pt idx="2">
                <c:v>0.64046006222505336</c:v>
              </c:pt>
              <c:pt idx="3">
                <c:v>0.6480026466289488</c:v>
              </c:pt>
              <c:pt idx="4">
                <c:v>0.64014727471296451</c:v>
              </c:pt>
              <c:pt idx="5">
                <c:v>0.61009577174400775</c:v>
              </c:pt>
              <c:pt idx="6">
                <c:v>0.60672435203388642</c:v>
              </c:pt>
              <c:pt idx="7">
                <c:v>0.57841940965032745</c:v>
              </c:pt>
              <c:pt idx="8">
                <c:v>0.52754979701667359</c:v>
              </c:pt>
              <c:pt idx="9">
                <c:v>0.46448883892597514</c:v>
              </c:pt>
              <c:pt idx="10">
                <c:v>0.43825225677695084</c:v>
              </c:pt>
              <c:pt idx="11">
                <c:v>0.39291069159965875</c:v>
              </c:pt>
              <c:pt idx="12">
                <c:v>0.40242866792238541</c:v>
              </c:pt>
              <c:pt idx="13">
                <c:v>0.35738677016268905</c:v>
              </c:pt>
              <c:pt idx="14">
                <c:v>0.27270473255007488</c:v>
              </c:pt>
              <c:pt idx="15">
                <c:v>0.21979852339623807</c:v>
              </c:pt>
              <c:pt idx="16">
                <c:v>0.21929123737177592</c:v>
              </c:pt>
              <c:pt idx="17">
                <c:v>0.1728566773624384</c:v>
              </c:pt>
              <c:pt idx="18">
                <c:v>0.15465965922776548</c:v>
              </c:pt>
              <c:pt idx="19">
                <c:v>0.14442148229958141</c:v>
              </c:pt>
              <c:pt idx="20">
                <c:v>0.12330539636331994</c:v>
              </c:pt>
              <c:pt idx="21">
                <c:v>0.10330971241949743</c:v>
              </c:pt>
              <c:pt idx="22">
                <c:v>0.10404234235807189</c:v>
              </c:pt>
              <c:pt idx="23">
                <c:v>8.9150558961827706E-2</c:v>
              </c:pt>
              <c:pt idx="24">
                <c:v>9.0841774887061341E-2</c:v>
              </c:pt>
              <c:pt idx="25">
                <c:v>7.9530945409406487E-2</c:v>
              </c:pt>
              <c:pt idx="26">
                <c:v>7.0769325035786063E-2</c:v>
              </c:pt>
              <c:pt idx="27">
                <c:v>6.6856933075807784E-2</c:v>
              </c:pt>
              <c:pt idx="28">
                <c:v>6.9151475639959617E-2</c:v>
              </c:pt>
              <c:pt idx="29">
                <c:v>6.6014920388053913E-2</c:v>
              </c:pt>
              <c:pt idx="30">
                <c:v>7.0672410059178875E-2</c:v>
              </c:pt>
              <c:pt idx="31">
                <c:v>5.181371660137242E-2</c:v>
              </c:pt>
              <c:pt idx="32">
                <c:v>7.9614583255994339E-2</c:v>
              </c:pt>
              <c:pt idx="33">
                <c:v>8.1282307868909928E-2</c:v>
              </c:pt>
              <c:pt idx="34">
                <c:v>6.9233391200052175E-2</c:v>
              </c:pt>
            </c:numLit>
          </c:val>
          <c:smooth val="1"/>
          <c:extLst>
            <c:ext xmlns:c16="http://schemas.microsoft.com/office/drawing/2014/chart" uri="{C3380CC4-5D6E-409C-BE32-E72D297353CC}">
              <c16:uniqueId val="{00000003-2349-4410-ABDD-5D296453A30E}"/>
            </c:ext>
          </c:extLst>
        </c:ser>
        <c:ser>
          <c:idx val="6"/>
          <c:order val="4"/>
          <c:tx>
            <c:v> altri combustibili</c:v>
          </c:tx>
          <c:spPr>
            <a:ln w="28575">
              <a:solidFill>
                <a:schemeClr val="accent3">
                  <a:lumMod val="75000"/>
                </a:schemeClr>
              </a:solidFill>
            </a:ln>
          </c:spPr>
          <c:marker>
            <c:symbol val="none"/>
          </c:marker>
          <c:cat>
            <c:strLit>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Lit>
          </c:cat>
          <c:val>
            <c:numLit>
              <c:formatCode>General</c:formatCode>
              <c:ptCount val="35"/>
              <c:pt idx="0">
                <c:v>8.3501355531477952E-4</c:v>
              </c:pt>
              <c:pt idx="1">
                <c:v>1.0693123234650163E-3</c:v>
              </c:pt>
              <c:pt idx="2">
                <c:v>8.5554659669777344E-4</c:v>
              </c:pt>
              <c:pt idx="3">
                <c:v>8.8892372767058743E-4</c:v>
              </c:pt>
              <c:pt idx="4">
                <c:v>1.0505107591804823E-3</c:v>
              </c:pt>
              <c:pt idx="5">
                <c:v>1.3754270993558816E-3</c:v>
              </c:pt>
              <c:pt idx="6">
                <c:v>1.7074928017920803E-3</c:v>
              </c:pt>
              <c:pt idx="7">
                <c:v>1.9114761754479516E-3</c:v>
              </c:pt>
              <c:pt idx="8">
                <c:v>2.7154370052591553E-3</c:v>
              </c:pt>
              <c:pt idx="9">
                <c:v>4.7961183847675167E-3</c:v>
              </c:pt>
              <c:pt idx="10">
                <c:v>3.2870576427939859E-3</c:v>
              </c:pt>
              <c:pt idx="11">
                <c:v>4.7633440446959103E-3</c:v>
              </c:pt>
              <c:pt idx="12">
                <c:v>4.4572236330783933E-3</c:v>
              </c:pt>
              <c:pt idx="13">
                <c:v>1.2034402932956467E-2</c:v>
              </c:pt>
              <c:pt idx="14">
                <c:v>1.4423366928292743E-2</c:v>
              </c:pt>
              <c:pt idx="15">
                <c:v>1.3485128353791306E-2</c:v>
              </c:pt>
              <c:pt idx="16">
                <c:v>1.4550903009954643E-2</c:v>
              </c:pt>
              <c:pt idx="17">
                <c:v>2.1210004181681084E-2</c:v>
              </c:pt>
              <c:pt idx="18">
                <c:v>1.9258593578619098E-2</c:v>
              </c:pt>
              <c:pt idx="19">
                <c:v>2.2549107986732462E-2</c:v>
              </c:pt>
              <c:pt idx="20">
                <c:v>3.1301895353603414E-2</c:v>
              </c:pt>
              <c:pt idx="21">
                <c:v>3.151912942028607E-2</c:v>
              </c:pt>
              <c:pt idx="22">
                <c:v>3.3477033028212679E-2</c:v>
              </c:pt>
              <c:pt idx="23">
                <c:v>3.842447134207827E-2</c:v>
              </c:pt>
              <c:pt idx="24">
                <c:v>4.2746104818509711E-2</c:v>
              </c:pt>
              <c:pt idx="25">
                <c:v>4.08326831821548E-2</c:v>
              </c:pt>
              <c:pt idx="26">
                <c:v>4.2983924640640943E-2</c:v>
              </c:pt>
              <c:pt idx="27">
                <c:v>4.1178835426518838E-2</c:v>
              </c:pt>
              <c:pt idx="28">
                <c:v>4.4867185306349963E-2</c:v>
              </c:pt>
              <c:pt idx="29">
                <c:v>4.8597432384425522E-2</c:v>
              </c:pt>
              <c:pt idx="30">
                <c:v>5.2828899758542124E-2</c:v>
              </c:pt>
              <c:pt idx="31">
                <c:v>4.874318117304545E-2</c:v>
              </c:pt>
              <c:pt idx="32">
                <c:v>4.4809445533400084E-2</c:v>
              </c:pt>
              <c:pt idx="33">
                <c:v>5.9506362275782508E-2</c:v>
              </c:pt>
              <c:pt idx="34">
                <c:v>6.3121830971265017E-2</c:v>
              </c:pt>
            </c:numLit>
          </c:val>
          <c:smooth val="1"/>
          <c:extLst>
            <c:ext xmlns:c16="http://schemas.microsoft.com/office/drawing/2014/chart" uri="{C3380CC4-5D6E-409C-BE32-E72D297353CC}">
              <c16:uniqueId val="{00000004-2349-4410-ABDD-5D296453A30E}"/>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8.7989968048784825E-2"/>
          <c:y val="0.91928560058395581"/>
          <c:w val="0.89999996620398803"/>
          <c:h val="6.363572631758038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18" Type="http://schemas.openxmlformats.org/officeDocument/2006/relationships/chart" Target="../charts/chart52.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20" Type="http://schemas.openxmlformats.org/officeDocument/2006/relationships/chart" Target="../charts/chart54.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19" Type="http://schemas.openxmlformats.org/officeDocument/2006/relationships/chart" Target="../charts/chart53.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3933825</xdr:colOff>
      <xdr:row>7</xdr:row>
      <xdr:rowOff>7408</xdr:rowOff>
    </xdr:to>
    <xdr:pic>
      <xdr:nvPicPr>
        <xdr:cNvPr id="2" name="Immagine 1">
          <a:extLst>
            <a:ext uri="{FF2B5EF4-FFF2-40B4-BE49-F238E27FC236}">
              <a16:creationId xmlns:a16="http://schemas.microsoft.com/office/drawing/2014/main" id="{99878E40-DA13-4BA7-B760-D24763E986D2}"/>
            </a:ext>
          </a:extLst>
        </xdr:cNvPr>
        <xdr:cNvPicPr>
          <a:picLocks noChangeAspect="1"/>
        </xdr:cNvPicPr>
      </xdr:nvPicPr>
      <xdr:blipFill>
        <a:blip xmlns:r="http://schemas.openxmlformats.org/officeDocument/2006/relationships" r:embed="rId1"/>
        <a:stretch>
          <a:fillRect/>
        </a:stretch>
      </xdr:blipFill>
      <xdr:spPr>
        <a:xfrm>
          <a:off x="0" y="0"/>
          <a:ext cx="5442585" cy="1158028"/>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0.01348</cdr:x>
      <cdr:y>0.01272</cdr:y>
    </cdr:from>
    <cdr:to>
      <cdr:x>0.05987</cdr:x>
      <cdr:y>0.84137</cdr:y>
    </cdr:to>
    <cdr:sp macro="" textlink="">
      <cdr:nvSpPr>
        <cdr:cNvPr id="2" name="CasellaDiTesto 1"/>
        <cdr:cNvSpPr txBox="1"/>
      </cdr:nvSpPr>
      <cdr:spPr>
        <a:xfrm xmlns:a="http://schemas.openxmlformats.org/drawingml/2006/main" rot="16200000">
          <a:off x="-1084934" y="1187230"/>
          <a:ext cx="2516315" cy="219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idroelettrica  (%)</a:t>
          </a:r>
          <a:endParaRPr lang="it-IT" sz="1100" b="1"/>
        </a:p>
      </cdr:txBody>
    </cdr:sp>
  </cdr:relSizeAnchor>
</c:userShapes>
</file>

<file path=xl/drawings/drawing11.xml><?xml version="1.0" encoding="utf-8"?>
<c:userShapes xmlns:c="http://schemas.openxmlformats.org/drawingml/2006/chart">
  <cdr:relSizeAnchor xmlns:cdr="http://schemas.openxmlformats.org/drawingml/2006/chartDrawing">
    <cdr:from>
      <cdr:x>0.01348</cdr:x>
      <cdr:y>0.01272</cdr:y>
    </cdr:from>
    <cdr:to>
      <cdr:x>0.06061</cdr:x>
      <cdr:y>0.83271</cdr:y>
    </cdr:to>
    <cdr:sp macro="" textlink="">
      <cdr:nvSpPr>
        <cdr:cNvPr id="2" name="CasellaDiTesto 1"/>
        <cdr:cNvSpPr txBox="1"/>
      </cdr:nvSpPr>
      <cdr:spPr>
        <a:xfrm xmlns:a="http://schemas.openxmlformats.org/drawingml/2006/main" rot="16200000">
          <a:off x="-1069677" y="1172107"/>
          <a:ext cx="2490031" cy="2230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geotermica (%)</a:t>
          </a:r>
          <a:endParaRPr lang="it-IT" sz="1100" b="1"/>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0.0742</cdr:y>
    </cdr:from>
    <cdr:to>
      <cdr:x>0.06118</cdr:x>
      <cdr:y>0.84129</cdr:y>
    </cdr:to>
    <cdr:sp macro="" textlink="">
      <cdr:nvSpPr>
        <cdr:cNvPr id="2" name="CasellaDiTesto 1"/>
        <cdr:cNvSpPr txBox="1"/>
      </cdr:nvSpPr>
      <cdr:spPr>
        <a:xfrm xmlns:a="http://schemas.openxmlformats.org/drawingml/2006/main" rot="16200000">
          <a:off x="-1050740" y="1282277"/>
          <a:ext cx="2393577" cy="292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baseline="0">
              <a:latin typeface="+mn-lt"/>
              <a:ea typeface="+mn-ea"/>
              <a:cs typeface="+mn-cs"/>
            </a:rPr>
            <a:t>Produzione da fonte rinnovabile (%)</a:t>
          </a:r>
          <a:endParaRPr lang="it-IT" sz="1100" b="1">
            <a:latin typeface="+mn-lt"/>
            <a:ea typeface="+mn-ea"/>
            <a:cs typeface="+mn-cs"/>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36</xdr:row>
      <xdr:rowOff>0</xdr:rowOff>
    </xdr:from>
    <xdr:to>
      <xdr:col>26</xdr:col>
      <xdr:colOff>286373</xdr:colOff>
      <xdr:row>59</xdr:row>
      <xdr:rowOff>193612</xdr:rowOff>
    </xdr:to>
    <xdr:graphicFrame macro="">
      <xdr:nvGraphicFramePr>
        <xdr:cNvPr id="2" name="Gra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0.04936</cdr:y>
    </cdr:from>
    <cdr:to>
      <cdr:x>0.03644</cdr:x>
      <cdr:y>0.66041</cdr:y>
    </cdr:to>
    <cdr:sp macro="" textlink="">
      <cdr:nvSpPr>
        <cdr:cNvPr id="2" name="CasellaDiTesto 1"/>
        <cdr:cNvSpPr txBox="1"/>
      </cdr:nvSpPr>
      <cdr:spPr>
        <a:xfrm xmlns:a="http://schemas.openxmlformats.org/drawingml/2006/main" rot="16200000">
          <a:off x="-936812" y="1108423"/>
          <a:ext cx="2124636" cy="2510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800" b="1"/>
            <a:t>Fattore di conversione</a:t>
          </a:r>
        </a:p>
      </cdr:txBody>
    </cdr:sp>
  </cdr:relSizeAnchor>
</c:userShapes>
</file>

<file path=xl/drawings/drawing15.xml><?xml version="1.0" encoding="utf-8"?>
<xdr:wsDr xmlns:xdr="http://schemas.openxmlformats.org/drawingml/2006/spreadsheetDrawing" xmlns:a="http://schemas.openxmlformats.org/drawingml/2006/main">
  <xdr:twoCellAnchor>
    <xdr:from>
      <xdr:col>6</xdr:col>
      <xdr:colOff>1183340</xdr:colOff>
      <xdr:row>0</xdr:row>
      <xdr:rowOff>125505</xdr:rowOff>
    </xdr:from>
    <xdr:to>
      <xdr:col>18</xdr:col>
      <xdr:colOff>116539</xdr:colOff>
      <xdr:row>35</xdr:row>
      <xdr:rowOff>80682</xdr:rowOff>
    </xdr:to>
    <xdr:sp macro="" textlink="">
      <xdr:nvSpPr>
        <xdr:cNvPr id="2" name="CasellaDiTesto 1">
          <a:extLst>
            <a:ext uri="{FF2B5EF4-FFF2-40B4-BE49-F238E27FC236}">
              <a16:creationId xmlns:a16="http://schemas.microsoft.com/office/drawing/2014/main" id="{B2654A6C-DE09-4505-A588-9C7411E661C8}"/>
            </a:ext>
          </a:extLst>
        </xdr:cNvPr>
        <xdr:cNvSpPr txBox="1"/>
      </xdr:nvSpPr>
      <xdr:spPr>
        <a:xfrm>
          <a:off x="8713693" y="125505"/>
          <a:ext cx="7037293" cy="7126942"/>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per</a:t>
          </a:r>
          <a:r>
            <a:rPr lang="en-GB" sz="1400" b="1">
              <a:solidFill>
                <a:schemeClr val="dk1"/>
              </a:solidFill>
              <a:latin typeface="+mn-lt"/>
              <a:ea typeface="+mn-ea"/>
              <a:cs typeface="+mn-cs"/>
            </a:rPr>
            <a:t> art. 8, commi 1 e 4, del DM MASE n. 224 del 14 luglio 2023</a:t>
          </a:r>
        </a:p>
        <a:p>
          <a:endParaRPr lang="en-GB" sz="1400"/>
        </a:p>
        <a:p>
          <a:r>
            <a:rPr lang="en-GB" sz="1400"/>
            <a:t>Secondo quanto richiesto dal comma 1 "</a:t>
          </a:r>
          <a:r>
            <a:rPr lang="en-GB" sz="1400" i="1"/>
            <a:t>le società di vendita di energia elettrica forniscono ai clienti finali informazioni in relazione a: </a:t>
          </a:r>
        </a:p>
        <a:p>
          <a:r>
            <a:rPr lang="en-GB" sz="1400" i="1"/>
            <a:t>a) composizione del mix di fonti energetiche primarie utilizzate per la produzione dell'energia elettrica fornita nell’anno precedente, anche con riferimento a ciascun contratto, in modo comprensibile e facilmente confrontabile; </a:t>
          </a:r>
        </a:p>
        <a:p>
          <a:r>
            <a:rPr lang="en-GB" sz="1400" i="1"/>
            <a:t>b) impatto ambientale, almeno in termini di emissioni di CO</a:t>
          </a:r>
          <a:r>
            <a:rPr lang="en-GB" sz="1400" i="1" baseline="-25000"/>
            <a:t>2</a:t>
          </a:r>
          <a:r>
            <a:rPr lang="en-GB" sz="1400" i="1"/>
            <a:t> e di scorie radioattive risultanti dalla produzione di energia elettrica prodotta mediante il mix energetico complessivo utilizzato dal fornitore nell'anno precedente.</a:t>
          </a:r>
          <a:r>
            <a:rPr lang="en-GB" sz="1400"/>
            <a:t>"</a:t>
          </a:r>
        </a:p>
        <a:p>
          <a:endParaRPr lang="en-GB" sz="1400"/>
        </a:p>
        <a:p>
          <a:r>
            <a:rPr lang="en-GB" sz="1400"/>
            <a:t>Il comma 4 prescrive che: "</a:t>
          </a:r>
          <a:r>
            <a:rPr lang="en-GB" sz="1400" i="1"/>
            <a:t>Entro il 30 giugno di ogni anno, l’Istituto superiore per la protezione e la ricerca ambientale (ISPRA), in collaborazione con il GSE, elabora e trasmette al Ministero dell’ambiente e della sicurezza energetica uno studio che valuta l’impatto ambientale della produzione di energia elettrica dell’anno precedente. Per le finalità di cui al comma 1, lettera b) del presente articolo, le società di vendita fanno riferimento a tali studi.</a:t>
          </a:r>
          <a:r>
            <a:rPr lang="en-GB" sz="1400"/>
            <a:t>"</a:t>
          </a:r>
        </a:p>
        <a:p>
          <a:endParaRPr lang="en-GB" sz="1400"/>
        </a:p>
        <a:p>
          <a:r>
            <a:rPr lang="en-GB" sz="1400"/>
            <a:t>I</a:t>
          </a:r>
          <a:r>
            <a:rPr lang="en-GB" sz="1400" baseline="0"/>
            <a:t>n ottemperanza a quanto previsto dalla suddetta normativa, in tabella 8</a:t>
          </a:r>
          <a:r>
            <a:rPr lang="en-GB" sz="1400"/>
            <a:t> sono riportati i fattori di </a:t>
          </a:r>
          <a:r>
            <a:rPr lang="en-GB" sz="1400">
              <a:solidFill>
                <a:schemeClr val="dk1"/>
              </a:solidFill>
              <a:latin typeface="+mn-lt"/>
              <a:ea typeface="+mn-ea"/>
              <a:cs typeface="+mn-cs"/>
            </a:rPr>
            <a:t>emissione di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a:t>
          </a:r>
          <a:r>
            <a:rPr lang="en-GB" sz="1400"/>
            <a:t>per contenuto di energia primaria dei combustibili utilizzati sul territorio nazionale per la produzione elettrica.</a:t>
          </a:r>
          <a:r>
            <a:rPr lang="en-GB" sz="1400" baseline="0"/>
            <a:t> La CO</a:t>
          </a:r>
          <a:r>
            <a:rPr lang="en-GB" sz="1400" baseline="-25000"/>
            <a:t>2</a:t>
          </a:r>
          <a:r>
            <a:rPr lang="en-GB" sz="1400" baseline="0"/>
            <a:t> emessa per la generazione elettrica è il risultato del prodotto di energia primaria utilizzata e fattore di emissione.</a:t>
          </a:r>
          <a:endParaRPr lang="en-GB" sz="1400"/>
        </a:p>
        <a:p>
          <a:endParaRPr lang="en-GB" sz="1400"/>
        </a:p>
        <a:p>
          <a:r>
            <a:rPr lang="en-GB" sz="1400"/>
            <a:t>Nella tabella 14 sono riportati i fattori di emissione di</a:t>
          </a:r>
          <a:r>
            <a:rPr lang="en-GB" sz="1400" baseline="0"/>
            <a:t> CO</a:t>
          </a:r>
          <a:r>
            <a:rPr lang="en-GB" sz="1400" baseline="-25000"/>
            <a:t>2</a:t>
          </a:r>
          <a:r>
            <a:rPr lang="en-GB" sz="1400" baseline="0"/>
            <a:t> </a:t>
          </a:r>
          <a:r>
            <a:rPr lang="en-GB" sz="1400"/>
            <a:t>del mix medio nazionale di</a:t>
          </a:r>
          <a:r>
            <a:rPr lang="en-GB" sz="1400" baseline="0"/>
            <a:t> fonti energetiche, per la generazione elettrica e per i consumi elettrici, a valle delle perdite di rete e del contributo del netto import-export</a:t>
          </a:r>
          <a:r>
            <a:rPr lang="en-GB" sz="1400"/>
            <a:t>. In tabella 19 sono</a:t>
          </a:r>
          <a:r>
            <a:rPr lang="en-GB" sz="1400" baseline="0"/>
            <a:t> inoltre riportati fattori di CH</a:t>
          </a:r>
          <a:r>
            <a:rPr lang="en-GB" sz="1400" baseline="-25000"/>
            <a:t>4</a:t>
          </a:r>
          <a:r>
            <a:rPr lang="en-GB" sz="1400" baseline="0"/>
            <a:t> e N</a:t>
          </a:r>
          <a:r>
            <a:rPr lang="en-GB" sz="1400" baseline="-25000"/>
            <a:t>2</a:t>
          </a:r>
          <a:r>
            <a:rPr lang="en-GB" sz="1400" baseline="0"/>
            <a:t>O.</a:t>
          </a:r>
        </a:p>
        <a:p>
          <a:endParaRPr lang="en-GB" sz="1400" baseline="0"/>
        </a:p>
        <a:p>
          <a:r>
            <a:rPr lang="en-GB" sz="1400" b="1" baseline="0">
              <a:solidFill>
                <a:srgbClr val="FF0000"/>
              </a:solidFill>
            </a:rPr>
            <a:t>NB </a:t>
          </a:r>
          <a:r>
            <a:rPr lang="en-GB" sz="1400" baseline="0"/>
            <a:t>- Le stime riferite all'anno precedente, come stabilito dalla normativa, riportate nelle tabelle 14 e 19 si basano su dati preliminari, pertanto sono caratterizzate dall'incertezza che dipende dai dati di origine. Inoltre, per la stima delle emissioni sono utilizzati i fattori di emissione specifici dell'ultimo anno al consuntivo. Le stime preliminari saranno ricalcolate con i dati definitivi.</a:t>
          </a:r>
        </a:p>
        <a:p>
          <a:endParaRPr lang="en-GB" sz="1400"/>
        </a:p>
        <a:p>
          <a:br>
            <a:rPr lang="en-GB" sz="1400"/>
          </a:br>
          <a:endParaRPr lang="en-GB" sz="1400" baseline="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121920</xdr:rowOff>
    </xdr:from>
    <xdr:to>
      <xdr:col>9</xdr:col>
      <xdr:colOff>483326</xdr:colOff>
      <xdr:row>21</xdr:row>
      <xdr:rowOff>19017</xdr:rowOff>
    </xdr:to>
    <xdr:graphicFrame macro="">
      <xdr:nvGraphicFramePr>
        <xdr:cNvPr id="4" name="Grafico 2">
          <a:extLst>
            <a:ext uri="{FF2B5EF4-FFF2-40B4-BE49-F238E27FC236}">
              <a16:creationId xmlns:a16="http://schemas.microsoft.com/office/drawing/2014/main" id="{E6062094-4396-432E-B245-91F33FA4F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a:t>
          </a:r>
          <a:r>
            <a:rPr lang="it-IT" sz="1100" b="1"/>
            <a:t>CO</a:t>
          </a:r>
          <a:r>
            <a:rPr lang="it-IT" sz="1100" b="1" baseline="-25000"/>
            <a:t>2</a:t>
          </a:r>
          <a:r>
            <a:rPr lang="it-IT" sz="1100" b="1"/>
            <a:t> da combustibili</a:t>
          </a:r>
          <a:r>
            <a:rPr lang="it-IT" sz="1100" b="1" baseline="0"/>
            <a:t> fossili per la produzione termoelettrica (Mt)</a:t>
          </a:r>
          <a:endParaRPr lang="it-IT" sz="1100" b="1"/>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17</xdr:colOff>
      <xdr:row>1</xdr:row>
      <xdr:rowOff>61791</xdr:rowOff>
    </xdr:from>
    <xdr:to>
      <xdr:col>16</xdr:col>
      <xdr:colOff>569148</xdr:colOff>
      <xdr:row>52</xdr:row>
      <xdr:rowOff>10261</xdr:rowOff>
    </xdr:to>
    <xdr:grpSp>
      <xdr:nvGrpSpPr>
        <xdr:cNvPr id="3" name="Gruppo 12">
          <a:extLst>
            <a:ext uri="{FF2B5EF4-FFF2-40B4-BE49-F238E27FC236}">
              <a16:creationId xmlns:a16="http://schemas.microsoft.com/office/drawing/2014/main" id="{6E0E573A-AF50-4499-AB91-60C389DF622F}"/>
            </a:ext>
          </a:extLst>
        </xdr:cNvPr>
        <xdr:cNvGrpSpPr>
          <a:grpSpLocks/>
        </xdr:cNvGrpSpPr>
      </xdr:nvGrpSpPr>
      <xdr:grpSpPr bwMode="auto">
        <a:xfrm>
          <a:off x="17" y="259015"/>
          <a:ext cx="10322731" cy="9092470"/>
          <a:chOff x="23029735" y="4497751"/>
          <a:chExt cx="9113062" cy="8519935"/>
        </a:xfrm>
      </xdr:grpSpPr>
      <xdr:graphicFrame macro="">
        <xdr:nvGraphicFramePr>
          <xdr:cNvPr id="4" name="Grafico 6">
            <a:extLst>
              <a:ext uri="{FF2B5EF4-FFF2-40B4-BE49-F238E27FC236}">
                <a16:creationId xmlns:a16="http://schemas.microsoft.com/office/drawing/2014/main" id="{D8AF92F3-74D6-47D3-B795-66B28905273D}"/>
              </a:ext>
            </a:extLst>
          </xdr:cNvPr>
          <xdr:cNvGraphicFramePr>
            <a:graphicFrameLocks/>
          </xdr:cNvGraphicFramePr>
        </xdr:nvGraphicFramePr>
        <xdr:xfrm>
          <a:off x="27555997" y="4497751"/>
          <a:ext cx="4586800" cy="28962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fico 5">
            <a:extLst>
              <a:ext uri="{FF2B5EF4-FFF2-40B4-BE49-F238E27FC236}">
                <a16:creationId xmlns:a16="http://schemas.microsoft.com/office/drawing/2014/main" id="{DFF64BFA-E60F-43A7-9ACF-145474DAC9A4}"/>
              </a:ext>
            </a:extLst>
          </xdr:cNvPr>
          <xdr:cNvGraphicFramePr>
            <a:graphicFrameLocks/>
          </xdr:cNvGraphicFramePr>
        </xdr:nvGraphicFramePr>
        <xdr:xfrm>
          <a:off x="23033183" y="4498652"/>
          <a:ext cx="4580710" cy="289305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Grafico 6">
            <a:extLst>
              <a:ext uri="{FF2B5EF4-FFF2-40B4-BE49-F238E27FC236}">
                <a16:creationId xmlns:a16="http://schemas.microsoft.com/office/drawing/2014/main" id="{E152B19C-7F01-4DAD-B02D-6876809334E6}"/>
              </a:ext>
            </a:extLst>
          </xdr:cNvPr>
          <xdr:cNvGraphicFramePr>
            <a:graphicFrameLocks/>
          </xdr:cNvGraphicFramePr>
        </xdr:nvGraphicFramePr>
        <xdr:xfrm>
          <a:off x="23033184" y="7278040"/>
          <a:ext cx="4580710" cy="289305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Grafico 7">
            <a:extLst>
              <a:ext uri="{FF2B5EF4-FFF2-40B4-BE49-F238E27FC236}">
                <a16:creationId xmlns:a16="http://schemas.microsoft.com/office/drawing/2014/main" id="{4984B6AE-4998-4BA1-A6D7-8246666D26B7}"/>
              </a:ext>
            </a:extLst>
          </xdr:cNvPr>
          <xdr:cNvGraphicFramePr>
            <a:graphicFrameLocks/>
          </xdr:cNvGraphicFramePr>
        </xdr:nvGraphicFramePr>
        <xdr:xfrm>
          <a:off x="23029735" y="10124196"/>
          <a:ext cx="4580710" cy="288874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9" name="Grafico 6">
            <a:extLst>
              <a:ext uri="{FF2B5EF4-FFF2-40B4-BE49-F238E27FC236}">
                <a16:creationId xmlns:a16="http://schemas.microsoft.com/office/drawing/2014/main" id="{EE4D63CB-24F2-437D-B54E-438434BA26C9}"/>
              </a:ext>
            </a:extLst>
          </xdr:cNvPr>
          <xdr:cNvGraphicFramePr>
            <a:graphicFrameLocks/>
          </xdr:cNvGraphicFramePr>
        </xdr:nvGraphicFramePr>
        <xdr:xfrm>
          <a:off x="27558561" y="7278040"/>
          <a:ext cx="4580709" cy="289305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0" name="Grafico 6">
            <a:extLst>
              <a:ext uri="{FF2B5EF4-FFF2-40B4-BE49-F238E27FC236}">
                <a16:creationId xmlns:a16="http://schemas.microsoft.com/office/drawing/2014/main" id="{CAC260EE-BAB6-4A89-9C9D-03DCB77F94F0}"/>
              </a:ext>
            </a:extLst>
          </xdr:cNvPr>
          <xdr:cNvGraphicFramePr>
            <a:graphicFrameLocks/>
          </xdr:cNvGraphicFramePr>
        </xdr:nvGraphicFramePr>
        <xdr:xfrm>
          <a:off x="27547357" y="10124634"/>
          <a:ext cx="4580709" cy="289305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0.01128</cdr:y>
    </cdr:from>
    <cdr:to>
      <cdr:x>0.04996</cdr:x>
      <cdr:y>0.81085</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3</xdr:rowOff>
    </xdr:from>
    <xdr:to>
      <xdr:col>0</xdr:col>
      <xdr:colOff>7840980</xdr:colOff>
      <xdr:row>16</xdr:row>
      <xdr:rowOff>76200</xdr:rowOff>
    </xdr:to>
    <xdr:sp macro="" textlink="">
      <xdr:nvSpPr>
        <xdr:cNvPr id="2" name="CasellaDiTesto 1">
          <a:extLst>
            <a:ext uri="{FF2B5EF4-FFF2-40B4-BE49-F238E27FC236}">
              <a16:creationId xmlns:a16="http://schemas.microsoft.com/office/drawing/2014/main" id="{00000000-0008-0000-0000-000002000000}"/>
            </a:ext>
          </a:extLst>
        </xdr:cNvPr>
        <xdr:cNvSpPr txBox="1"/>
      </xdr:nvSpPr>
      <xdr:spPr>
        <a:xfrm>
          <a:off x="0" y="3"/>
          <a:ext cx="7840980" cy="30022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600" b="1">
              <a:solidFill>
                <a:schemeClr val="dk1"/>
              </a:solidFill>
              <a:latin typeface="Times New Roman" pitchFamily="18" charset="0"/>
              <a:ea typeface="+mn-ea"/>
              <a:cs typeface="Times New Roman" pitchFamily="18" charset="0"/>
            </a:rPr>
            <a:t>Fattori di emissione per la produzione e il consumo</a:t>
          </a:r>
          <a:r>
            <a:rPr lang="it-IT" sz="1600" b="1" baseline="0">
              <a:solidFill>
                <a:schemeClr val="dk1"/>
              </a:solidFill>
              <a:latin typeface="Times New Roman" pitchFamily="18" charset="0"/>
              <a:ea typeface="+mn-ea"/>
              <a:cs typeface="Times New Roman" pitchFamily="18" charset="0"/>
            </a:rPr>
            <a:t> di energia elettrica in Italia (aggiornamento al 2023 e stime preliminari per il 2024)</a:t>
          </a:r>
          <a:endParaRPr lang="it-IT" sz="1600" b="1">
            <a:solidFill>
              <a:schemeClr val="dk1"/>
            </a:solidFill>
            <a:latin typeface="Times New Roman" pitchFamily="18" charset="0"/>
            <a:ea typeface="+mn-ea"/>
            <a:cs typeface="Times New Roman" pitchFamily="18" charset="0"/>
          </a:endParaRPr>
        </a:p>
        <a:p>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Fattori di</a:t>
          </a:r>
          <a:r>
            <a:rPr lang="it-IT" sz="1200" baseline="0">
              <a:solidFill>
                <a:schemeClr val="dk1"/>
              </a:solidFill>
              <a:latin typeface="Times New Roman" pitchFamily="18" charset="0"/>
              <a:ea typeface="+mn-ea"/>
              <a:cs typeface="Times New Roman" pitchFamily="18" charset="0"/>
            </a:rPr>
            <a:t> emissione dei combustibili </a:t>
          </a:r>
          <a:r>
            <a:rPr lang="it-IT" sz="1200">
              <a:solidFill>
                <a:schemeClr val="dk1"/>
              </a:solidFill>
              <a:latin typeface="Times New Roman" pitchFamily="18" charset="0"/>
              <a:ea typeface="+mn-ea"/>
              <a:cs typeface="Times New Roman" pitchFamily="18" charset="0"/>
            </a:rPr>
            <a:t>elaborati da </a:t>
          </a:r>
          <a:r>
            <a:rPr lang="it-IT" sz="1200" baseline="0">
              <a:solidFill>
                <a:schemeClr val="dk1"/>
              </a:solidFill>
              <a:latin typeface="Times New Roman" pitchFamily="18" charset="0"/>
              <a:ea typeface="+mn-ea"/>
              <a:cs typeface="Times New Roman" pitchFamily="18" charset="0"/>
            </a:rPr>
            <a:t>ISPRA.</a:t>
          </a:r>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TERNA S.p.A. è la fonte dei dati</a:t>
          </a:r>
          <a:r>
            <a:rPr lang="it-IT" sz="1200" baseline="0">
              <a:solidFill>
                <a:schemeClr val="dk1"/>
              </a:solidFill>
              <a:latin typeface="Times New Roman" pitchFamily="18" charset="0"/>
              <a:ea typeface="+mn-ea"/>
              <a:cs typeface="Times New Roman" pitchFamily="18" charset="0"/>
            </a:rPr>
            <a:t> </a:t>
          </a:r>
          <a:r>
            <a:rPr lang="it-IT" sz="1200">
              <a:solidFill>
                <a:schemeClr val="dk1"/>
              </a:solidFill>
              <a:latin typeface="Times New Roman" pitchFamily="18" charset="0"/>
              <a:ea typeface="+mn-ea"/>
              <a:cs typeface="Times New Roman" pitchFamily="18" charset="0"/>
            </a:rPr>
            <a:t>di produzione elettrica, produzione di calore e consumi energetici delle centrali. </a:t>
          </a:r>
        </a:p>
        <a:p>
          <a:r>
            <a:rPr lang="it-IT" sz="1200">
              <a:solidFill>
                <a:schemeClr val="dk1"/>
              </a:solidFill>
              <a:latin typeface="Times New Roman" pitchFamily="18" charset="0"/>
              <a:ea typeface="+mn-ea"/>
              <a:cs typeface="Times New Roman" pitchFamily="18" charset="0"/>
            </a:rPr>
            <a:t>Le stime per il 2024 sono elaborate da ISPRA su base dati TERNA</a:t>
          </a:r>
          <a:r>
            <a:rPr lang="it-IT" sz="1200" baseline="0">
              <a:solidFill>
                <a:schemeClr val="dk1"/>
              </a:solidFill>
              <a:latin typeface="Times New Roman" pitchFamily="18" charset="0"/>
              <a:ea typeface="+mn-ea"/>
              <a:cs typeface="Times New Roman" pitchFamily="18" charset="0"/>
            </a:rPr>
            <a:t> (</a:t>
          </a:r>
          <a:r>
            <a:rPr lang="it-IT" sz="1200" baseline="0">
              <a:solidFill>
                <a:sysClr val="windowText" lastClr="000000"/>
              </a:solidFill>
              <a:latin typeface="Times New Roman" pitchFamily="18" charset="0"/>
              <a:ea typeface="+mn-ea"/>
              <a:cs typeface="Times New Roman" pitchFamily="18" charset="0"/>
            </a:rPr>
            <a:t>Rapporto mensile sul sistema elettrico, </a:t>
          </a:r>
          <a:r>
            <a:rPr lang="it-IT" sz="1200" b="1" baseline="0">
              <a:solidFill>
                <a:sysClr val="windowText" lastClr="000000"/>
              </a:solidFill>
              <a:latin typeface="Times New Roman" pitchFamily="18" charset="0"/>
              <a:ea typeface="+mn-ea"/>
              <a:cs typeface="Times New Roman" pitchFamily="18" charset="0"/>
            </a:rPr>
            <a:t>dicembre 2024</a:t>
          </a:r>
          <a:r>
            <a:rPr lang="it-IT" sz="1200" baseline="0">
              <a:solidFill>
                <a:sysClr val="windowText" lastClr="000000"/>
              </a:solidFill>
              <a:latin typeface="Times New Roman" pitchFamily="18" charset="0"/>
              <a:ea typeface="+mn-ea"/>
              <a:cs typeface="Times New Roman" pitchFamily="18" charset="0"/>
            </a:rPr>
            <a:t>), SNAM per la distribuzione di gas naturale, MSE per il carbone e prodotti petroliferi (</a:t>
          </a:r>
          <a:r>
            <a:rPr lang="it-IT" sz="1200" b="1" baseline="0">
              <a:solidFill>
                <a:sysClr val="windowText" lastClr="000000"/>
              </a:solidFill>
              <a:latin typeface="Times New Roman" pitchFamily="18" charset="0"/>
              <a:ea typeface="+mn-ea"/>
              <a:cs typeface="Times New Roman" pitchFamily="18" charset="0"/>
            </a:rPr>
            <a:t>aggiornati a dicembre 2024</a:t>
          </a:r>
          <a:r>
            <a:rPr lang="it-IT" sz="1200" baseline="0">
              <a:solidFill>
                <a:sysClr val="windowText" lastClr="000000"/>
              </a:solidFill>
              <a:latin typeface="Times New Roman" pitchFamily="18" charset="0"/>
              <a:ea typeface="+mn-ea"/>
              <a:cs typeface="Times New Roman" pitchFamily="18" charset="0"/>
            </a:rPr>
            <a:t>). </a:t>
          </a:r>
        </a:p>
        <a:p>
          <a:r>
            <a:rPr lang="it-IT" sz="1200" b="1" baseline="0">
              <a:solidFill>
                <a:schemeClr val="dk1"/>
              </a:solidFill>
              <a:latin typeface="Times New Roman" pitchFamily="18" charset="0"/>
              <a:ea typeface="+mn-ea"/>
              <a:cs typeface="Times New Roman" pitchFamily="18" charset="0"/>
            </a:rPr>
            <a:t>NB - Le stime preliminari sono caratterizzate da notevole incertezza e saranno riviste con i dati consuntivi.</a:t>
          </a:r>
          <a:endParaRPr lang="it-IT" sz="1200" b="1">
            <a:solidFill>
              <a:schemeClr val="dk1"/>
            </a:solidFill>
            <a:latin typeface="Times New Roman" pitchFamily="18" charset="0"/>
            <a:ea typeface="+mn-ea"/>
            <a:cs typeface="Times New Roman" pitchFamily="18" charset="0"/>
          </a:endParaRPr>
        </a:p>
        <a:p>
          <a:endParaRPr lang="it-IT" sz="1200">
            <a:solidFill>
              <a:schemeClr val="dk1"/>
            </a:solidFill>
            <a:latin typeface="Times New Roman" pitchFamily="18" charset="0"/>
            <a:ea typeface="+mn-ea"/>
            <a:cs typeface="Times New Roman" pitchFamily="18" charset="0"/>
          </a:endParaRPr>
        </a:p>
        <a:p>
          <a:r>
            <a:rPr lang="it-IT" sz="1200">
              <a:solidFill>
                <a:srgbClr val="FF0000"/>
              </a:solidFill>
              <a:latin typeface="Times New Roman" pitchFamily="18" charset="0"/>
              <a:ea typeface="+mn-ea"/>
              <a:cs typeface="Times New Roman" pitchFamily="18" charset="0"/>
            </a:rPr>
            <a:t>NOTA</a:t>
          </a:r>
          <a:r>
            <a:rPr lang="it-IT" sz="1200" baseline="0">
              <a:solidFill>
                <a:srgbClr val="FF0000"/>
              </a:solidFill>
              <a:latin typeface="Times New Roman" pitchFamily="18" charset="0"/>
              <a:ea typeface="+mn-ea"/>
              <a:cs typeface="Times New Roman" pitchFamily="18" charset="0"/>
            </a:rPr>
            <a:t> - La variazione del FE da produzione termoelettrica rispetto alla precedente versione è dovuta all'inserimento della quota di elettricità da "altre fonti di energia" nel denominatore del fattore di emissione. Queste fonti producono energia elettrica ma non generano emissioni di CO</a:t>
          </a:r>
          <a:r>
            <a:rPr lang="it-IT" sz="1200" baseline="-25000">
              <a:solidFill>
                <a:srgbClr val="FF0000"/>
              </a:solidFill>
              <a:latin typeface="Times New Roman" pitchFamily="18" charset="0"/>
              <a:ea typeface="+mn-ea"/>
              <a:cs typeface="Times New Roman" pitchFamily="18" charset="0"/>
            </a:rPr>
            <a:t>2</a:t>
          </a:r>
          <a:r>
            <a:rPr lang="it-IT" sz="1200" baseline="0">
              <a:solidFill>
                <a:srgbClr val="FF0000"/>
              </a:solidFill>
              <a:latin typeface="Times New Roman" pitchFamily="18" charset="0"/>
              <a:ea typeface="+mn-ea"/>
              <a:cs typeface="Times New Roman" pitchFamily="18" charset="0"/>
            </a:rPr>
            <a:t>. </a:t>
          </a:r>
          <a:br>
            <a:rPr lang="it-IT" sz="1200" baseline="0">
              <a:solidFill>
                <a:srgbClr val="FF0000"/>
              </a:solidFill>
              <a:latin typeface="Times New Roman" pitchFamily="18" charset="0"/>
              <a:ea typeface="+mn-ea"/>
              <a:cs typeface="Times New Roman" pitchFamily="18" charset="0"/>
            </a:rPr>
          </a:br>
          <a:r>
            <a:rPr lang="it-IT" sz="1200" baseline="0">
              <a:solidFill>
                <a:srgbClr val="FF0000"/>
              </a:solidFill>
              <a:latin typeface="Times New Roman" pitchFamily="18" charset="0"/>
              <a:ea typeface="+mn-ea"/>
              <a:cs typeface="Times New Roman" pitchFamily="18" charset="0"/>
            </a:rPr>
            <a:t>Si segnala inoltre una lieve variazione di tutti i FE dal 2010 rispetto alla precedente versione, dovuta all'aggiornamento dei FE dei gas residui da processi chimici.</a:t>
          </a:r>
          <a:endParaRPr lang="it-IT" sz="1200">
            <a:solidFill>
              <a:srgbClr val="FF0000"/>
            </a:solidFill>
            <a:latin typeface="Times New Roman" pitchFamily="18" charset="0"/>
            <a:ea typeface="+mn-ea"/>
            <a:cs typeface="Times New Roman" pitchFamily="18" charset="0"/>
          </a:endParaRPr>
        </a:p>
        <a:p>
          <a:endParaRPr lang="it-IT" sz="1200">
            <a:solidFill>
              <a:schemeClr val="dk1"/>
            </a:solidFill>
            <a:latin typeface="Times New Roman" pitchFamily="18" charset="0"/>
            <a:ea typeface="+mn-ea"/>
            <a:cs typeface="Times New Roman" pitchFamily="18"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0.00072</cdr:x>
      <cdr:y>0.01128</cdr:y>
    </cdr:from>
    <cdr:to>
      <cdr:x>0.04696</cdr:x>
      <cdr:y>0.81662</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0.02212</cdr:x>
      <cdr:y>0.13504</cdr:y>
    </cdr:from>
    <cdr:to>
      <cdr:x>0.0599</cdr:x>
      <cdr:y>0.81234</cdr:y>
    </cdr:to>
    <cdr:sp macro="" textlink="">
      <cdr:nvSpPr>
        <cdr:cNvPr id="4" name="CasellaDiTesto 1"/>
        <cdr:cNvSpPr txBox="1"/>
      </cdr:nvSpPr>
      <cdr:spPr>
        <a:xfrm xmlns:a="http://schemas.openxmlformats.org/drawingml/2006/main">
          <a:off x="112059" y="414618"/>
          <a:ext cx="257736" cy="15688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it-IT"/>
        </a:p>
      </cdr:txBody>
    </cdr:sp>
  </cdr:relSizeAnchor>
  <cdr:relSizeAnchor xmlns:cdr="http://schemas.openxmlformats.org/drawingml/2006/chartDrawing">
    <cdr:from>
      <cdr:x>0.00072</cdr:x>
      <cdr:y>0.01056</cdr:y>
    </cdr:from>
    <cdr:to>
      <cdr:x>0.04768</cdr:x>
      <cdr:y>0.81542</cdr:y>
    </cdr:to>
    <cdr:sp macro="" textlink="">
      <cdr:nvSpPr>
        <cdr:cNvPr id="5"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0.00466</cdr:x>
      <cdr:y>0.03433</cdr:y>
    </cdr:from>
    <cdr:to>
      <cdr:x>0.05615</cdr:x>
      <cdr:y>0.8324</cdr:y>
    </cdr:to>
    <cdr:sp macro="" textlink="">
      <cdr:nvSpPr>
        <cdr:cNvPr id="4" name="CasellaDiTesto 3"/>
        <cdr:cNvSpPr txBox="1"/>
      </cdr:nvSpPr>
      <cdr:spPr>
        <a:xfrm xmlns:a="http://schemas.openxmlformats.org/drawingml/2006/main" rot="16200000">
          <a:off x="-1029827" y="1151674"/>
          <a:ext cx="2337617" cy="2353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Numero indice 1990=100</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0.01056</cdr:y>
    </cdr:from>
    <cdr:to>
      <cdr:x>0.04964</cdr:x>
      <cdr:y>0.81397</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dr:relSizeAnchor xmlns:cdr="http://schemas.openxmlformats.org/drawingml/2006/chartDrawing">
    <cdr:from>
      <cdr:x>0.01716</cdr:x>
      <cdr:y>0.0354</cdr:y>
    </cdr:from>
    <cdr:to>
      <cdr:x>0.05917</cdr:x>
      <cdr:y>0.85141</cdr:y>
    </cdr:to>
    <cdr:sp macro="" textlink="">
      <cdr:nvSpPr>
        <cdr:cNvPr id="4" name="CasellaDiTesto 1"/>
        <cdr:cNvSpPr txBox="1"/>
      </cdr:nvSpPr>
      <cdr:spPr>
        <a:xfrm xmlns:a="http://schemas.openxmlformats.org/drawingml/2006/main" rot="16200000">
          <a:off x="-802957" y="1071898"/>
          <a:ext cx="2036319" cy="2735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5.xml><?xml version="1.0" encoding="utf-8"?>
<xdr:wsDr xmlns:xdr="http://schemas.openxmlformats.org/drawingml/2006/spreadsheetDrawing" xmlns:a="http://schemas.openxmlformats.org/drawingml/2006/main">
  <xdr:twoCellAnchor>
    <xdr:from>
      <xdr:col>9</xdr:col>
      <xdr:colOff>627529</xdr:colOff>
      <xdr:row>2</xdr:row>
      <xdr:rowOff>197224</xdr:rowOff>
    </xdr:from>
    <xdr:to>
      <xdr:col>22</xdr:col>
      <xdr:colOff>143434</xdr:colOff>
      <xdr:row>40</xdr:row>
      <xdr:rowOff>35859</xdr:rowOff>
    </xdr:to>
    <xdr:sp macro="" textlink="">
      <xdr:nvSpPr>
        <xdr:cNvPr id="2" name="CasellaDiTesto 1">
          <a:extLst>
            <a:ext uri="{FF2B5EF4-FFF2-40B4-BE49-F238E27FC236}">
              <a16:creationId xmlns:a16="http://schemas.microsoft.com/office/drawing/2014/main" id="{A3E133C5-B381-1A50-6C98-ECC4739EACA8}"/>
            </a:ext>
          </a:extLst>
        </xdr:cNvPr>
        <xdr:cNvSpPr txBox="1"/>
      </xdr:nvSpPr>
      <xdr:spPr>
        <a:xfrm>
          <a:off x="9350188" y="591671"/>
          <a:ext cx="7037293" cy="8086164"/>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metodologica per il calcolo dei fattori di emissione</a:t>
          </a:r>
        </a:p>
        <a:p>
          <a:endParaRPr lang="en-GB" sz="1400"/>
        </a:p>
        <a:p>
          <a:r>
            <a:rPr lang="en-GB" sz="1400"/>
            <a:t>Le emissioni di CO</a:t>
          </a:r>
          <a:r>
            <a:rPr lang="en-GB" sz="1400" baseline="-25000"/>
            <a:t>2</a:t>
          </a:r>
          <a:r>
            <a:rPr lang="en-GB" sz="1400"/>
            <a:t> sono stimate secondo l'approccio richiesto da UNFCCC per la compilazione degli Inventari Nazionali</a:t>
          </a:r>
          <a:r>
            <a:rPr lang="en-GB" sz="1400" baseline="0"/>
            <a:t> delle emissioni di gas serra. In base a tale approccio sono conteggiati solo i gas serra rilasciati sul territorio nazionale. Le emissioni dovute alla produzione di elettricità importata sono a carico del Paese produttore. Per la produzione elettrica nazionale sono considerate esclusivamente le emissioni da combustione dei combustibili fossili e della componente fossile dei rifiuti. In merito alle bioenergie (biogas, biomasse solide, quota rinnovabile dei rifiuti) le emissioni nette di CO</a:t>
          </a:r>
          <a:r>
            <a:rPr lang="en-GB" sz="1400" baseline="-25000"/>
            <a:t>2</a:t>
          </a:r>
          <a:r>
            <a:rPr lang="en-GB" sz="1400" baseline="0"/>
            <a:t> per la combustione sono considerate zero, perché pari alla CO</a:t>
          </a:r>
          <a:r>
            <a:rPr lang="en-GB" sz="1400" baseline="-25000"/>
            <a:t>2</a:t>
          </a:r>
          <a:r>
            <a:rPr lang="en-GB" sz="1400" baseline="0"/>
            <a:t> immagazzinata durante la formazione della bioenergia. A differenza della CO</a:t>
          </a:r>
          <a:r>
            <a:rPr lang="en-GB" sz="1400" baseline="-25000"/>
            <a:t>2</a:t>
          </a:r>
          <a:r>
            <a:rPr lang="en-GB" sz="1400" baseline="0"/>
            <a:t>, sono stimate le emissioni di CH</a:t>
          </a:r>
          <a:r>
            <a:rPr lang="en-GB" sz="1400" baseline="-25000"/>
            <a:t>4</a:t>
          </a:r>
          <a:r>
            <a:rPr lang="en-GB" sz="1400" baseline="0"/>
            <a:t> e N</a:t>
          </a:r>
          <a:r>
            <a:rPr lang="en-GB" sz="1400" baseline="-25000"/>
            <a:t>2</a:t>
          </a:r>
          <a:r>
            <a:rPr lang="en-GB" sz="1400" baseline="0"/>
            <a:t>O da combustione delle bioenergie (riportate nel foglio 19). Secondo la metodologia adottata sono da considerarsi nulle le emissioni da altre fonti rinnovabili: idroelettrico, geotermia, fotovoltaico, eolico. </a:t>
          </a:r>
        </a:p>
        <a:p>
          <a:r>
            <a:rPr lang="en-GB" sz="1400" baseline="0"/>
            <a:t>Le emissioni per la produzione elettrica sono calcolate moltiplicando i fattori di emissione nazionali dei singoli combustibili (Annex 6 del National Inventory Document) per il rispettivo consumo in termini energetici. </a:t>
          </a:r>
        </a:p>
        <a:p>
          <a:r>
            <a:rPr lang="en-GB" sz="1400" baseline="0"/>
            <a:t>Il fattore di emissione per la produzione elettrica è quindi il rapporto tra le emissioni da combustione e l'energia elettrica prodotta. Il fattore di emissione per i consumi elettrici considera il contributo dei consumi ausiliari, l'apporto della quota di elettricità importata e le perdite di rete. Alla produzione lorda è sommata la quota importata e sono sottratti consumi ausiliari, energia destinata ai pompaggi e perdite di rete.  </a:t>
          </a:r>
        </a:p>
        <a:p>
          <a:r>
            <a:rPr lang="en-GB" sz="1400" baseline="0"/>
            <a:t>Il fattore di emissione per le perdite di rete rappresenta le emissioni di CO</a:t>
          </a:r>
          <a:r>
            <a:rPr lang="en-GB" sz="1400" baseline="-25000"/>
            <a:t>2</a:t>
          </a:r>
          <a:r>
            <a:rPr lang="en-GB" sz="1400" baseline="0"/>
            <a:t> per unità di energia elettrica perduta dalla rete; è considerata solo la quota di CO</a:t>
          </a:r>
          <a:r>
            <a:rPr lang="en-GB" sz="1400" baseline="-25000"/>
            <a:t>2</a:t>
          </a:r>
          <a:r>
            <a:rPr lang="en-GB" sz="1400" baseline="0"/>
            <a:t> dovuta all'elettricità prodotta a livello nazionale, la quota di elettricità importata ha emissioni nulle.</a:t>
          </a:r>
        </a:p>
        <a:p>
          <a:r>
            <a:rPr lang="en-GB" sz="1400" baseline="0"/>
            <a:t>Il calore considerato per il calcolo del relativo fattore di emissione è esclusivamente il calore cogenerato insieme alla produzione elettrica, come dichiarato da TERNA.</a:t>
          </a:r>
        </a:p>
        <a:p>
          <a:endParaRPr lang="en-GB" sz="1400" baseline="0"/>
        </a:p>
        <a:p>
          <a:r>
            <a:rPr lang="en-GB" sz="1400" baseline="0"/>
            <a:t>Informazioni relative al calcolo delle emissioni con approccio LC (life cycle), quindi comprensivo delle emissioni up stream, sono disponibili nel sito JRC ai seguenti indirizzi:</a:t>
          </a:r>
        </a:p>
        <a:p>
          <a:endParaRPr lang="en-GB" sz="1400" baseline="0"/>
        </a:p>
        <a:p>
          <a:r>
            <a:rPr lang="en-GB" sz="1400" b="0" i="0" u="none" strike="noStrike">
              <a:solidFill>
                <a:schemeClr val="dk1"/>
              </a:solidFill>
              <a:effectLst/>
              <a:latin typeface="+mn-lt"/>
              <a:ea typeface="+mn-ea"/>
              <a:cs typeface="+mn-cs"/>
            </a:rPr>
            <a:t>https://data.jrc.ec.europa.eu/dataset/72fac2b2-aa63-4dc1-ade3-4e56b37e4b7c</a:t>
          </a:r>
        </a:p>
        <a:p>
          <a:r>
            <a:rPr lang="en-GB" sz="1400" b="0" i="0" u="none" strike="noStrike">
              <a:solidFill>
                <a:schemeClr val="dk1"/>
              </a:solidFill>
              <a:effectLst/>
              <a:latin typeface="+mn-lt"/>
              <a:ea typeface="+mn-ea"/>
              <a:cs typeface="+mn-cs"/>
            </a:rPr>
            <a:t>https://data.jrc.ec.europa.eu/dataset/919df040-0252-4e4e-ad82-c054896e1641</a:t>
          </a:r>
          <a:endParaRPr lang="en-GB" sz="1400" baseline="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53340</xdr:rowOff>
    </xdr:from>
    <xdr:to>
      <xdr:col>10</xdr:col>
      <xdr:colOff>563880</xdr:colOff>
      <xdr:row>20</xdr:row>
      <xdr:rowOff>144780</xdr:rowOff>
    </xdr:to>
    <xdr:graphicFrame macro="">
      <xdr:nvGraphicFramePr>
        <xdr:cNvPr id="4" name="Chart 25">
          <a:extLst>
            <a:ext uri="{FF2B5EF4-FFF2-40B4-BE49-F238E27FC236}">
              <a16:creationId xmlns:a16="http://schemas.microsoft.com/office/drawing/2014/main" id="{327A1B87-22CA-4E39-A5B4-4DFBD7315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0.00193</cdr:x>
      <cdr:y>0</cdr:y>
    </cdr:from>
    <cdr:to>
      <cdr:x>0.08124</cdr:x>
      <cdr:y>0.91453</cdr:y>
    </cdr:to>
    <cdr:sp macro="" textlink="">
      <cdr:nvSpPr>
        <cdr:cNvPr id="2" name="CasellaDiTesto 1"/>
        <cdr:cNvSpPr txBox="1"/>
      </cdr:nvSpPr>
      <cdr:spPr>
        <a:xfrm xmlns:a="http://schemas.openxmlformats.org/drawingml/2006/main" rot="16200000">
          <a:off x="-1353740" y="1366594"/>
          <a:ext cx="3261360" cy="5281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200" b="1"/>
            <a:t>Emissioni di CO2 per kWh prodotto/consumato </a:t>
          </a:r>
        </a:p>
        <a:p xmlns:a="http://schemas.openxmlformats.org/drawingml/2006/main">
          <a:pPr algn="ctr"/>
          <a:r>
            <a:rPr lang="it-IT" sz="1200" b="1"/>
            <a:t>(g CO</a:t>
          </a:r>
          <a:r>
            <a:rPr lang="it-IT" sz="1200" b="1" baseline="-25000"/>
            <a:t>2</a:t>
          </a:r>
          <a:r>
            <a:rPr lang="it-IT" sz="1200" b="1"/>
            <a:t>/kWh)</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22</xdr:row>
      <xdr:rowOff>0</xdr:rowOff>
    </xdr:from>
    <xdr:to>
      <xdr:col>8</xdr:col>
      <xdr:colOff>358588</xdr:colOff>
      <xdr:row>47</xdr:row>
      <xdr:rowOff>56029</xdr:rowOff>
    </xdr:to>
    <xdr:graphicFrame macro="">
      <xdr:nvGraphicFramePr>
        <xdr:cNvPr id="3" name="Gra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cdr:x>
      <cdr:y>0.04936</cdr:y>
    </cdr:from>
    <cdr:to>
      <cdr:x>0.03644</cdr:x>
      <cdr:y>0.66041</cdr:y>
    </cdr:to>
    <cdr:sp macro="" textlink="">
      <cdr:nvSpPr>
        <cdr:cNvPr id="2" name="CasellaDiTesto 1"/>
        <cdr:cNvSpPr txBox="1"/>
      </cdr:nvSpPr>
      <cdr:spPr>
        <a:xfrm xmlns:a="http://schemas.openxmlformats.org/drawingml/2006/main" rot="16200000">
          <a:off x="-936812" y="1108423"/>
          <a:ext cx="2124636" cy="2510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800" b="1">
              <a:solidFill>
                <a:schemeClr val="tx1">
                  <a:lumMod val="65000"/>
                  <a:lumOff val="35000"/>
                </a:schemeClr>
              </a:solidFill>
            </a:rPr>
            <a:t>Fattore di conversione</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1</xdr:row>
      <xdr:rowOff>114300</xdr:rowOff>
    </xdr:from>
    <xdr:to>
      <xdr:col>9</xdr:col>
      <xdr:colOff>543263</xdr:colOff>
      <xdr:row>20</xdr:row>
      <xdr:rowOff>34231</xdr:rowOff>
    </xdr:to>
    <xdr:graphicFrame macro="">
      <xdr:nvGraphicFramePr>
        <xdr:cNvPr id="5" name="Grafico 2">
          <a:extLst>
            <a:ext uri="{FF2B5EF4-FFF2-40B4-BE49-F238E27FC236}">
              <a16:creationId xmlns:a16="http://schemas.microsoft.com/office/drawing/2014/main" id="{E8E7509E-5A85-4176-9B0D-AE9CCE3F6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39</xdr:col>
      <xdr:colOff>55419</xdr:colOff>
      <xdr:row>46</xdr:row>
      <xdr:rowOff>171494</xdr:rowOff>
    </xdr:from>
    <xdr:to>
      <xdr:col>46</xdr:col>
      <xdr:colOff>262771</xdr:colOff>
      <xdr:row>58</xdr:row>
      <xdr:rowOff>69273</xdr:rowOff>
    </xdr:to>
    <xdr:sp macro="" textlink="">
      <xdr:nvSpPr>
        <xdr:cNvPr id="2" name="CasellaDiTesto 1">
          <a:extLst>
            <a:ext uri="{FF2B5EF4-FFF2-40B4-BE49-F238E27FC236}">
              <a16:creationId xmlns:a16="http://schemas.microsoft.com/office/drawing/2014/main" id="{00000000-0008-0000-1B00-000002000000}"/>
            </a:ext>
          </a:extLst>
        </xdr:cNvPr>
        <xdr:cNvSpPr txBox="1"/>
      </xdr:nvSpPr>
      <xdr:spPr>
        <a:xfrm>
          <a:off x="28429528" y="8802876"/>
          <a:ext cx="4765498" cy="2072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a:t>Dai dati pubblicati da Terna arrivo all'energia usata nelle centrali (cogenerative e non) per la sola elettricità.</a:t>
          </a:r>
          <a:r>
            <a:rPr lang="it-IT" sz="1100" baseline="0"/>
            <a:t> Potrei avere la stima anche per i singoli gruppi di combustibili. Uso il consumo specifico medio per tipo di centrale (cogenenerativa e non) e la produzione elettrica totale termica. </a:t>
          </a:r>
        </a:p>
        <a:p>
          <a:endParaRPr lang="it-IT" sz="1100" baseline="0"/>
        </a:p>
        <a:p>
          <a:r>
            <a:rPr lang="it-IT" sz="1100" baseline="0"/>
            <a:t>Il sistema di equazioni mi consente di ricavare il contenuto di combustibili per la produzione elettrica nelle centrali cogenerative e non.</a:t>
          </a:r>
        </a:p>
        <a:p>
          <a:endParaRPr lang="it-IT" sz="1100" baseline="0"/>
        </a:p>
        <a:p>
          <a:pPr marL="0" marR="0" indent="0" defTabSz="914400" eaLnBrk="1" fontAlgn="auto" latinLnBrk="0" hangingPunct="1">
            <a:lnSpc>
              <a:spcPct val="100000"/>
            </a:lnSpc>
            <a:spcBef>
              <a:spcPts val="0"/>
            </a:spcBef>
            <a:spcAft>
              <a:spcPts val="0"/>
            </a:spcAft>
            <a:buClrTx/>
            <a:buSzTx/>
            <a:buFontTx/>
            <a:buNone/>
            <a:tabLst/>
            <a:defRPr/>
          </a:pPr>
          <a:r>
            <a:rPr lang="it-IT" sz="1100" baseline="0">
              <a:solidFill>
                <a:schemeClr val="dk1"/>
              </a:solidFill>
              <a:latin typeface="+mn-lt"/>
              <a:ea typeface="+mn-ea"/>
              <a:cs typeface="+mn-cs"/>
            </a:rPr>
            <a:t>Nella sezione del calore utile viene fornito il calore introdotto, ovvero il contenuto energetico dei combustibili usati nelle cogenerative per fare calore e elettricità </a:t>
          </a:r>
          <a:endParaRPr lang="it-IT" sz="1100"/>
        </a:p>
        <a:p>
          <a:r>
            <a:rPr lang="it-IT" sz="1100"/>
            <a:t>Il differenziale rispetto alla soluzione delle</a:t>
          </a:r>
          <a:r>
            <a:rPr lang="it-IT" sz="1100" baseline="0"/>
            <a:t> equazioni per le centrali cogenerative è il consumo di combustibile per il calore.</a:t>
          </a:r>
        </a:p>
        <a:p>
          <a:endParaRPr lang="it-IT" sz="1100" baseline="0"/>
        </a:p>
        <a:p>
          <a:r>
            <a:rPr lang="it-IT" sz="1100" baseline="0"/>
            <a:t>Quindi di fatto Terna pubblica il consumo di combustibili per la produzione elettrica scorporata ma fornisce tutti gli elementi per calcolare anche il consumo totale per produrre elettricità e calore. Per questo motivo lo metto nel rapporto.</a:t>
          </a:r>
          <a:endParaRPr lang="it-IT" sz="1100"/>
        </a:p>
      </xdr:txBody>
    </xdr:sp>
    <xdr:clientData/>
  </xdr:twoCellAnchor>
  <xdr:twoCellAnchor>
    <xdr:from>
      <xdr:col>33</xdr:col>
      <xdr:colOff>584336</xdr:colOff>
      <xdr:row>1</xdr:row>
      <xdr:rowOff>115202</xdr:rowOff>
    </xdr:from>
    <xdr:to>
      <xdr:col>42</xdr:col>
      <xdr:colOff>49655</xdr:colOff>
      <xdr:row>18</xdr:row>
      <xdr:rowOff>139943</xdr:rowOff>
    </xdr:to>
    <xdr:graphicFrame macro="">
      <xdr:nvGraphicFramePr>
        <xdr:cNvPr id="6" name="Gra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532178</xdr:colOff>
      <xdr:row>18</xdr:row>
      <xdr:rowOff>163810</xdr:rowOff>
    </xdr:from>
    <xdr:to>
      <xdr:col>41</xdr:col>
      <xdr:colOff>597317</xdr:colOff>
      <xdr:row>36</xdr:row>
      <xdr:rowOff>65490</xdr:rowOff>
    </xdr:to>
    <xdr:graphicFrame macro="">
      <xdr:nvGraphicFramePr>
        <xdr:cNvPr id="3" name="Grafico 2">
          <a:extLst>
            <a:ext uri="{FF2B5EF4-FFF2-40B4-BE49-F238E27FC236}">
              <a16:creationId xmlns:a16="http://schemas.microsoft.com/office/drawing/2014/main" id="{7C8ED097-AE7C-44E0-AAB9-1E332D9E7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104957</xdr:colOff>
      <xdr:row>127</xdr:row>
      <xdr:rowOff>130164</xdr:rowOff>
    </xdr:from>
    <xdr:to>
      <xdr:col>14</xdr:col>
      <xdr:colOff>646273</xdr:colOff>
      <xdr:row>143</xdr:row>
      <xdr:rowOff>184590</xdr:rowOff>
    </xdr:to>
    <xdr:graphicFrame macro="">
      <xdr:nvGraphicFramePr>
        <xdr:cNvPr id="7" name="Grafico 6">
          <a:extLst>
            <a:ext uri="{FF2B5EF4-FFF2-40B4-BE49-F238E27FC236}">
              <a16:creationId xmlns:a16="http://schemas.microsoft.com/office/drawing/2014/main" id="{D0148E6F-02D8-40E5-2C12-A7652A040D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615539</xdr:colOff>
      <xdr:row>127</xdr:row>
      <xdr:rowOff>158338</xdr:rowOff>
    </xdr:from>
    <xdr:to>
      <xdr:col>20</xdr:col>
      <xdr:colOff>550224</xdr:colOff>
      <xdr:row>144</xdr:row>
      <xdr:rowOff>32655</xdr:rowOff>
    </xdr:to>
    <xdr:graphicFrame macro="">
      <xdr:nvGraphicFramePr>
        <xdr:cNvPr id="9" name="Grafico 8">
          <a:extLst>
            <a:ext uri="{FF2B5EF4-FFF2-40B4-BE49-F238E27FC236}">
              <a16:creationId xmlns:a16="http://schemas.microsoft.com/office/drawing/2014/main" id="{E167CC2F-6E64-4192-BA35-50590048C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579329</xdr:colOff>
      <xdr:row>125</xdr:row>
      <xdr:rowOff>174172</xdr:rowOff>
    </xdr:from>
    <xdr:to>
      <xdr:col>37</xdr:col>
      <xdr:colOff>128067</xdr:colOff>
      <xdr:row>142</xdr:row>
      <xdr:rowOff>150710</xdr:rowOff>
    </xdr:to>
    <xdr:graphicFrame macro="">
      <xdr:nvGraphicFramePr>
        <xdr:cNvPr id="12" name="Grafico 11">
          <a:extLst>
            <a:ext uri="{FF2B5EF4-FFF2-40B4-BE49-F238E27FC236}">
              <a16:creationId xmlns:a16="http://schemas.microsoft.com/office/drawing/2014/main" id="{990545C2-7CD7-4B55-8411-FF60BE35C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798674</xdr:colOff>
      <xdr:row>144</xdr:row>
      <xdr:rowOff>20026</xdr:rowOff>
    </xdr:from>
    <xdr:to>
      <xdr:col>34</xdr:col>
      <xdr:colOff>121199</xdr:colOff>
      <xdr:row>161</xdr:row>
      <xdr:rowOff>175</xdr:rowOff>
    </xdr:to>
    <xdr:graphicFrame macro="">
      <xdr:nvGraphicFramePr>
        <xdr:cNvPr id="19" name="Grafico 18">
          <a:extLst>
            <a:ext uri="{FF2B5EF4-FFF2-40B4-BE49-F238E27FC236}">
              <a16:creationId xmlns:a16="http://schemas.microsoft.com/office/drawing/2014/main" id="{86292CCD-36A6-41C1-B7DE-467BF408B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561108</xdr:colOff>
      <xdr:row>127</xdr:row>
      <xdr:rowOff>169223</xdr:rowOff>
    </xdr:from>
    <xdr:to>
      <xdr:col>26</xdr:col>
      <xdr:colOff>344325</xdr:colOff>
      <xdr:row>144</xdr:row>
      <xdr:rowOff>38591</xdr:rowOff>
    </xdr:to>
    <xdr:graphicFrame macro="">
      <xdr:nvGraphicFramePr>
        <xdr:cNvPr id="20" name="Grafico 19">
          <a:extLst>
            <a:ext uri="{FF2B5EF4-FFF2-40B4-BE49-F238E27FC236}">
              <a16:creationId xmlns:a16="http://schemas.microsoft.com/office/drawing/2014/main" id="{F3D71473-412E-468A-A2AE-CCC29E102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757636</xdr:colOff>
      <xdr:row>162</xdr:row>
      <xdr:rowOff>1455</xdr:rowOff>
    </xdr:from>
    <xdr:to>
      <xdr:col>26</xdr:col>
      <xdr:colOff>676229</xdr:colOff>
      <xdr:row>180</xdr:row>
      <xdr:rowOff>28348</xdr:rowOff>
    </xdr:to>
    <xdr:graphicFrame macro="">
      <xdr:nvGraphicFramePr>
        <xdr:cNvPr id="23" name="Grafico 22">
          <a:extLst>
            <a:ext uri="{FF2B5EF4-FFF2-40B4-BE49-F238E27FC236}">
              <a16:creationId xmlns:a16="http://schemas.microsoft.com/office/drawing/2014/main" id="{976B6180-7720-4608-8AD1-B85616C2F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1024071</xdr:colOff>
      <xdr:row>162</xdr:row>
      <xdr:rowOff>1456</xdr:rowOff>
    </xdr:from>
    <xdr:to>
      <xdr:col>16</xdr:col>
      <xdr:colOff>381172</xdr:colOff>
      <xdr:row>180</xdr:row>
      <xdr:rowOff>28349</xdr:rowOff>
    </xdr:to>
    <xdr:graphicFrame macro="">
      <xdr:nvGraphicFramePr>
        <xdr:cNvPr id="24" name="Grafico 23">
          <a:extLst>
            <a:ext uri="{FF2B5EF4-FFF2-40B4-BE49-F238E27FC236}">
              <a16:creationId xmlns:a16="http://schemas.microsoft.com/office/drawing/2014/main" id="{315FA227-DD72-46D0-AA47-9A24741B1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291529</xdr:colOff>
      <xdr:row>162</xdr:row>
      <xdr:rowOff>10420</xdr:rowOff>
    </xdr:from>
    <xdr:to>
      <xdr:col>21</xdr:col>
      <xdr:colOff>820388</xdr:colOff>
      <xdr:row>180</xdr:row>
      <xdr:rowOff>37313</xdr:rowOff>
    </xdr:to>
    <xdr:graphicFrame macro="">
      <xdr:nvGraphicFramePr>
        <xdr:cNvPr id="25" name="Grafico 24">
          <a:extLst>
            <a:ext uri="{FF2B5EF4-FFF2-40B4-BE49-F238E27FC236}">
              <a16:creationId xmlns:a16="http://schemas.microsoft.com/office/drawing/2014/main" id="{6E71F88E-737F-463D-9D13-80FBF3439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1061095</xdr:colOff>
      <xdr:row>144</xdr:row>
      <xdr:rowOff>27709</xdr:rowOff>
    </xdr:from>
    <xdr:to>
      <xdr:col>16</xdr:col>
      <xdr:colOff>423003</xdr:colOff>
      <xdr:row>162</xdr:row>
      <xdr:rowOff>54815</xdr:rowOff>
    </xdr:to>
    <xdr:graphicFrame macro="">
      <xdr:nvGraphicFramePr>
        <xdr:cNvPr id="26" name="Grafico 25">
          <a:extLst>
            <a:ext uri="{FF2B5EF4-FFF2-40B4-BE49-F238E27FC236}">
              <a16:creationId xmlns:a16="http://schemas.microsoft.com/office/drawing/2014/main" id="{D9AAFA3E-B9F9-4F49-92F4-9ADAEBE6E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305615</xdr:colOff>
      <xdr:row>144</xdr:row>
      <xdr:rowOff>27709</xdr:rowOff>
    </xdr:from>
    <xdr:to>
      <xdr:col>21</xdr:col>
      <xdr:colOff>826415</xdr:colOff>
      <xdr:row>162</xdr:row>
      <xdr:rowOff>54815</xdr:rowOff>
    </xdr:to>
    <xdr:graphicFrame macro="">
      <xdr:nvGraphicFramePr>
        <xdr:cNvPr id="27" name="Grafico 26">
          <a:extLst>
            <a:ext uri="{FF2B5EF4-FFF2-40B4-BE49-F238E27FC236}">
              <a16:creationId xmlns:a16="http://schemas.microsoft.com/office/drawing/2014/main" id="{6F51CA11-971B-498F-8D9F-C820A248E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744884</xdr:colOff>
      <xdr:row>144</xdr:row>
      <xdr:rowOff>27709</xdr:rowOff>
    </xdr:from>
    <xdr:to>
      <xdr:col>26</xdr:col>
      <xdr:colOff>672384</xdr:colOff>
      <xdr:row>162</xdr:row>
      <xdr:rowOff>54815</xdr:rowOff>
    </xdr:to>
    <xdr:graphicFrame macro="">
      <xdr:nvGraphicFramePr>
        <xdr:cNvPr id="28" name="Grafico 27">
          <a:extLst>
            <a:ext uri="{FF2B5EF4-FFF2-40B4-BE49-F238E27FC236}">
              <a16:creationId xmlns:a16="http://schemas.microsoft.com/office/drawing/2014/main" id="{76451E51-B78D-4546-9305-70BB950D8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322729</xdr:colOff>
      <xdr:row>106</xdr:row>
      <xdr:rowOff>35858</xdr:rowOff>
    </xdr:from>
    <xdr:to>
      <xdr:col>36</xdr:col>
      <xdr:colOff>120614</xdr:colOff>
      <xdr:row>120</xdr:row>
      <xdr:rowOff>32657</xdr:rowOff>
    </xdr:to>
    <xdr:graphicFrame macro="">
      <xdr:nvGraphicFramePr>
        <xdr:cNvPr id="18" name="Grafico 17">
          <a:extLst>
            <a:ext uri="{FF2B5EF4-FFF2-40B4-BE49-F238E27FC236}">
              <a16:creationId xmlns:a16="http://schemas.microsoft.com/office/drawing/2014/main" id="{BB614666-FCDE-48BA-A6D1-D6B6BF63B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653140</xdr:colOff>
      <xdr:row>106</xdr:row>
      <xdr:rowOff>43543</xdr:rowOff>
    </xdr:from>
    <xdr:to>
      <xdr:col>41</xdr:col>
      <xdr:colOff>559883</xdr:colOff>
      <xdr:row>120</xdr:row>
      <xdr:rowOff>40342</xdr:rowOff>
    </xdr:to>
    <xdr:graphicFrame macro="">
      <xdr:nvGraphicFramePr>
        <xdr:cNvPr id="22" name="Grafico 21">
          <a:extLst>
            <a:ext uri="{FF2B5EF4-FFF2-40B4-BE49-F238E27FC236}">
              <a16:creationId xmlns:a16="http://schemas.microsoft.com/office/drawing/2014/main" id="{AA475B13-F38C-4B37-B343-2D32E0966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400" b="1"/>
            <a:t>Consumi</a:t>
          </a:r>
          <a:r>
            <a:rPr lang="it-IT" sz="1200" b="1"/>
            <a:t> specifici</a:t>
          </a:r>
          <a:r>
            <a:rPr lang="it-IT" sz="1200" b="1" baseline="0"/>
            <a:t> per la produzione elettrica</a:t>
          </a:r>
          <a:r>
            <a:rPr lang="it-IT" sz="1200" b="1"/>
            <a:t> (MJ/kWh)</a:t>
          </a: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200" b="1"/>
            <a:t>Mcal/kWh</a:t>
          </a:r>
        </a:p>
      </cdr:txBody>
    </cdr:sp>
  </cdr:relSizeAnchor>
</c:userShapes>
</file>

<file path=xl/drawings/drawing33.xml><?xml version="1.0" encoding="utf-8"?>
<xdr:wsDr xmlns:xdr="http://schemas.openxmlformats.org/drawingml/2006/spreadsheetDrawing" xmlns:a="http://schemas.openxmlformats.org/drawingml/2006/main">
  <xdr:twoCellAnchor>
    <xdr:from>
      <xdr:col>31</xdr:col>
      <xdr:colOff>299504</xdr:colOff>
      <xdr:row>19</xdr:row>
      <xdr:rowOff>135734</xdr:rowOff>
    </xdr:from>
    <xdr:to>
      <xdr:col>41</xdr:col>
      <xdr:colOff>647755</xdr:colOff>
      <xdr:row>41</xdr:row>
      <xdr:rowOff>115561</xdr:rowOff>
    </xdr:to>
    <xdr:graphicFrame macro="">
      <xdr:nvGraphicFramePr>
        <xdr:cNvPr id="2" name="Chart 16">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512909</xdr:colOff>
      <xdr:row>42</xdr:row>
      <xdr:rowOff>129988</xdr:rowOff>
    </xdr:from>
    <xdr:to>
      <xdr:col>43</xdr:col>
      <xdr:colOff>189539</xdr:colOff>
      <xdr:row>57</xdr:row>
      <xdr:rowOff>165847</xdr:rowOff>
    </xdr:to>
    <xdr:graphicFrame macro="">
      <xdr:nvGraphicFramePr>
        <xdr:cNvPr id="3" name="Grafico 2">
          <a:extLst>
            <a:ext uri="{FF2B5EF4-FFF2-40B4-BE49-F238E27FC236}">
              <a16:creationId xmlns:a16="http://schemas.microsoft.com/office/drawing/2014/main" id="{EC3D9AF0-543E-4B3A-A45E-CD1706FC9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35</xdr:col>
      <xdr:colOff>609599</xdr:colOff>
      <xdr:row>60</xdr:row>
      <xdr:rowOff>57524</xdr:rowOff>
    </xdr:from>
    <xdr:to>
      <xdr:col>43</xdr:col>
      <xdr:colOff>66060</xdr:colOff>
      <xdr:row>75</xdr:row>
      <xdr:rowOff>123799</xdr:rowOff>
    </xdr:to>
    <xdr:graphicFrame macro="">
      <xdr:nvGraphicFramePr>
        <xdr:cNvPr id="3" name="Gra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11849</xdr:colOff>
      <xdr:row>60</xdr:row>
      <xdr:rowOff>29455</xdr:rowOff>
    </xdr:from>
    <xdr:to>
      <xdr:col>49</xdr:col>
      <xdr:colOff>123905</xdr:colOff>
      <xdr:row>75</xdr:row>
      <xdr:rowOff>88686</xdr:rowOff>
    </xdr:to>
    <xdr:graphicFrame macro="">
      <xdr:nvGraphicFramePr>
        <xdr:cNvPr id="5" name="Grafico 4">
          <a:extLst>
            <a:ext uri="{FF2B5EF4-FFF2-40B4-BE49-F238E27FC236}">
              <a16:creationId xmlns:a16="http://schemas.microsoft.com/office/drawing/2014/main"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22411</xdr:colOff>
      <xdr:row>76</xdr:row>
      <xdr:rowOff>19743</xdr:rowOff>
    </xdr:from>
    <xdr:to>
      <xdr:col>43</xdr:col>
      <xdr:colOff>88472</xdr:colOff>
      <xdr:row>91</xdr:row>
      <xdr:rowOff>78975</xdr:rowOff>
    </xdr:to>
    <xdr:graphicFrame macro="">
      <xdr:nvGraphicFramePr>
        <xdr:cNvPr id="6" name="Grafico 5">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295672</xdr:colOff>
      <xdr:row>76</xdr:row>
      <xdr:rowOff>7043</xdr:rowOff>
    </xdr:from>
    <xdr:to>
      <xdr:col>49</xdr:col>
      <xdr:colOff>404052</xdr:colOff>
      <xdr:row>91</xdr:row>
      <xdr:rowOff>66275</xdr:rowOff>
    </xdr:to>
    <xdr:graphicFrame macro="">
      <xdr:nvGraphicFramePr>
        <xdr:cNvPr id="7" name="Grafico 6">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195623</xdr:colOff>
      <xdr:row>59</xdr:row>
      <xdr:rowOff>176412</xdr:rowOff>
    </xdr:from>
    <xdr:to>
      <xdr:col>56</xdr:col>
      <xdr:colOff>500424</xdr:colOff>
      <xdr:row>75</xdr:row>
      <xdr:rowOff>56349</xdr:rowOff>
    </xdr:to>
    <xdr:graphicFrame macro="">
      <xdr:nvGraphicFramePr>
        <xdr:cNvPr id="8" name="Grafico 7">
          <a:extLst>
            <a:ext uri="{FF2B5EF4-FFF2-40B4-BE49-F238E27FC236}">
              <a16:creationId xmlns:a16="http://schemas.microsoft.com/office/drawing/2014/main" id="{00000000-0008-0000-1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345666</xdr:colOff>
      <xdr:row>52</xdr:row>
      <xdr:rowOff>59582</xdr:rowOff>
    </xdr:from>
    <xdr:to>
      <xdr:col>79</xdr:col>
      <xdr:colOff>27419</xdr:colOff>
      <xdr:row>75</xdr:row>
      <xdr:rowOff>45550</xdr:rowOff>
    </xdr:to>
    <xdr:grpSp>
      <xdr:nvGrpSpPr>
        <xdr:cNvPr id="12" name="Gruppo 11">
          <a:extLst>
            <a:ext uri="{FF2B5EF4-FFF2-40B4-BE49-F238E27FC236}">
              <a16:creationId xmlns:a16="http://schemas.microsoft.com/office/drawing/2014/main" id="{00000000-0008-0000-1F00-00000C000000}"/>
            </a:ext>
          </a:extLst>
        </xdr:cNvPr>
        <xdr:cNvGrpSpPr/>
      </xdr:nvGrpSpPr>
      <xdr:grpSpPr>
        <a:xfrm>
          <a:off x="33022019" y="9750429"/>
          <a:ext cx="11264153" cy="4127662"/>
          <a:chOff x="17263900" y="3989961"/>
          <a:chExt cx="10442730" cy="3774770"/>
        </a:xfrm>
      </xdr:grpSpPr>
      <xdr:graphicFrame macro="">
        <xdr:nvGraphicFramePr>
          <xdr:cNvPr id="10" name="Grafico 9">
            <a:extLst>
              <a:ext uri="{FF2B5EF4-FFF2-40B4-BE49-F238E27FC236}">
                <a16:creationId xmlns:a16="http://schemas.microsoft.com/office/drawing/2014/main" id="{00000000-0008-0000-1F00-00000A000000}"/>
              </a:ext>
            </a:extLst>
          </xdr:cNvPr>
          <xdr:cNvGraphicFramePr/>
        </xdr:nvGraphicFramePr>
        <xdr:xfrm>
          <a:off x="17263900" y="3989961"/>
          <a:ext cx="5459184" cy="376643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Grafico 10">
            <a:extLst>
              <a:ext uri="{FF2B5EF4-FFF2-40B4-BE49-F238E27FC236}">
                <a16:creationId xmlns:a16="http://schemas.microsoft.com/office/drawing/2014/main" id="{00000000-0008-0000-1F00-00000B000000}"/>
              </a:ext>
            </a:extLst>
          </xdr:cNvPr>
          <xdr:cNvGraphicFramePr/>
        </xdr:nvGraphicFramePr>
        <xdr:xfrm>
          <a:off x="22247446" y="3998298"/>
          <a:ext cx="5459184" cy="376643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33</xdr:col>
      <xdr:colOff>495300</xdr:colOff>
      <xdr:row>21</xdr:row>
      <xdr:rowOff>152400</xdr:rowOff>
    </xdr:from>
    <xdr:to>
      <xdr:col>40</xdr:col>
      <xdr:colOff>215473</xdr:colOff>
      <xdr:row>27</xdr:row>
      <xdr:rowOff>93607</xdr:rowOff>
    </xdr:to>
    <xdr:sp macro="" textlink="">
      <xdr:nvSpPr>
        <xdr:cNvPr id="2" name="CasellaDiTesto 1">
          <a:extLst>
            <a:ext uri="{FF2B5EF4-FFF2-40B4-BE49-F238E27FC236}">
              <a16:creationId xmlns:a16="http://schemas.microsoft.com/office/drawing/2014/main" id="{00000000-0008-0000-1F00-000002000000}"/>
            </a:ext>
          </a:extLst>
        </xdr:cNvPr>
        <xdr:cNvSpPr txBox="1"/>
      </xdr:nvSpPr>
      <xdr:spPr>
        <a:xfrm>
          <a:off x="15062947" y="4249271"/>
          <a:ext cx="4238385" cy="1016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200" b="1"/>
            <a:t>Consumi finali elettricità Eurostat - Terna</a:t>
          </a:r>
        </a:p>
        <a:p>
          <a:endParaRPr lang="it-IT" sz="1200" b="1"/>
        </a:p>
        <a:p>
          <a:r>
            <a:rPr lang="it-IT" sz="1200" b="1"/>
            <a:t>Agricoltura e pesca, terziario,</a:t>
          </a:r>
          <a:r>
            <a:rPr lang="it-IT" sz="1200" b="1" baseline="0"/>
            <a:t> trasporti e domestico</a:t>
          </a:r>
          <a:r>
            <a:rPr lang="it-IT" sz="1200" b="1"/>
            <a:t> coincidono alla perfezione. </a:t>
          </a:r>
        </a:p>
        <a:p>
          <a:r>
            <a:rPr lang="it-IT" sz="1200" b="1"/>
            <a:t>La differenza è tutta in Industria.</a:t>
          </a:r>
        </a:p>
        <a:p>
          <a:endParaRPr lang="it-IT" sz="1200" b="1"/>
        </a:p>
        <a:p>
          <a:endParaRPr lang="it-IT" sz="1200" b="1"/>
        </a:p>
        <a:p>
          <a:endParaRPr lang="it-IT" sz="1200" b="1"/>
        </a:p>
      </xdr:txBody>
    </xdr:sp>
    <xdr:clientData/>
  </xdr:twoCellAnchor>
  <xdr:twoCellAnchor>
    <xdr:from>
      <xdr:col>20</xdr:col>
      <xdr:colOff>250372</xdr:colOff>
      <xdr:row>95</xdr:row>
      <xdr:rowOff>152401</xdr:rowOff>
    </xdr:from>
    <xdr:to>
      <xdr:col>26</xdr:col>
      <xdr:colOff>618309</xdr:colOff>
      <xdr:row>111</xdr:row>
      <xdr:rowOff>81643</xdr:rowOff>
    </xdr:to>
    <xdr:graphicFrame macro="">
      <xdr:nvGraphicFramePr>
        <xdr:cNvPr id="4" name="Grafico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54154</xdr:colOff>
      <xdr:row>87</xdr:row>
      <xdr:rowOff>160564</xdr:rowOff>
    </xdr:from>
    <xdr:to>
      <xdr:col>20</xdr:col>
      <xdr:colOff>333374</xdr:colOff>
      <xdr:row>103</xdr:row>
      <xdr:rowOff>117020</xdr:rowOff>
    </xdr:to>
    <xdr:graphicFrame macro="">
      <xdr:nvGraphicFramePr>
        <xdr:cNvPr id="14" name="Grafico 13">
          <a:extLst>
            <a:ext uri="{FF2B5EF4-FFF2-40B4-BE49-F238E27FC236}">
              <a16:creationId xmlns:a16="http://schemas.microsoft.com/office/drawing/2014/main"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1621971</xdr:colOff>
      <xdr:row>131</xdr:row>
      <xdr:rowOff>53339</xdr:rowOff>
    </xdr:from>
    <xdr:to>
      <xdr:col>17</xdr:col>
      <xdr:colOff>141513</xdr:colOff>
      <xdr:row>142</xdr:row>
      <xdr:rowOff>177436</xdr:rowOff>
    </xdr:to>
    <xdr:graphicFrame macro="">
      <xdr:nvGraphicFramePr>
        <xdr:cNvPr id="13" name="Grafico 12">
          <a:extLst>
            <a:ext uri="{FF2B5EF4-FFF2-40B4-BE49-F238E27FC236}">
              <a16:creationId xmlns:a16="http://schemas.microsoft.com/office/drawing/2014/main" id="{00000000-0008-0000-1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272143</xdr:colOff>
      <xdr:row>130</xdr:row>
      <xdr:rowOff>4354</xdr:rowOff>
    </xdr:from>
    <xdr:to>
      <xdr:col>22</xdr:col>
      <xdr:colOff>502023</xdr:colOff>
      <xdr:row>141</xdr:row>
      <xdr:rowOff>130628</xdr:rowOff>
    </xdr:to>
    <xdr:graphicFrame macro="">
      <xdr:nvGraphicFramePr>
        <xdr:cNvPr id="15" name="Grafico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328748</xdr:colOff>
      <xdr:row>130</xdr:row>
      <xdr:rowOff>43541</xdr:rowOff>
    </xdr:from>
    <xdr:to>
      <xdr:col>28</xdr:col>
      <xdr:colOff>591670</xdr:colOff>
      <xdr:row>141</xdr:row>
      <xdr:rowOff>163284</xdr:rowOff>
    </xdr:to>
    <xdr:graphicFrame macro="">
      <xdr:nvGraphicFramePr>
        <xdr:cNvPr id="16" name="Grafico 15">
          <a:extLst>
            <a:ext uri="{FF2B5EF4-FFF2-40B4-BE49-F238E27FC236}">
              <a16:creationId xmlns:a16="http://schemas.microsoft.com/office/drawing/2014/main" id="{00000000-0008-0000-1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200297</xdr:colOff>
      <xdr:row>142</xdr:row>
      <xdr:rowOff>178696</xdr:rowOff>
    </xdr:from>
    <xdr:to>
      <xdr:col>28</xdr:col>
      <xdr:colOff>591670</xdr:colOff>
      <xdr:row>154</xdr:row>
      <xdr:rowOff>23949</xdr:rowOff>
    </xdr:to>
    <xdr:graphicFrame macro="">
      <xdr:nvGraphicFramePr>
        <xdr:cNvPr id="19" name="Grafico 18">
          <a:extLst>
            <a:ext uri="{FF2B5EF4-FFF2-40B4-BE49-F238E27FC236}">
              <a16:creationId xmlns:a16="http://schemas.microsoft.com/office/drawing/2014/main" id="{00000000-0008-0000-1F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391887</xdr:colOff>
      <xdr:row>142</xdr:row>
      <xdr:rowOff>184140</xdr:rowOff>
    </xdr:from>
    <xdr:to>
      <xdr:col>23</xdr:col>
      <xdr:colOff>428898</xdr:colOff>
      <xdr:row>154</xdr:row>
      <xdr:rowOff>29393</xdr:rowOff>
    </xdr:to>
    <xdr:graphicFrame macro="">
      <xdr:nvGraphicFramePr>
        <xdr:cNvPr id="20" name="Grafico 19">
          <a:extLst>
            <a:ext uri="{FF2B5EF4-FFF2-40B4-BE49-F238E27FC236}">
              <a16:creationId xmlns:a16="http://schemas.microsoft.com/office/drawing/2014/main" id="{00000000-0008-0000-1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0</xdr:colOff>
      <xdr:row>143</xdr:row>
      <xdr:rowOff>62690</xdr:rowOff>
    </xdr:from>
    <xdr:to>
      <xdr:col>17</xdr:col>
      <xdr:colOff>152400</xdr:colOff>
      <xdr:row>154</xdr:row>
      <xdr:rowOff>94705</xdr:rowOff>
    </xdr:to>
    <xdr:graphicFrame macro="">
      <xdr:nvGraphicFramePr>
        <xdr:cNvPr id="21" name="Grafico 20">
          <a:extLst>
            <a:ext uri="{FF2B5EF4-FFF2-40B4-BE49-F238E27FC236}">
              <a16:creationId xmlns:a16="http://schemas.microsoft.com/office/drawing/2014/main" id="{00000000-0008-0000-1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369570</xdr:colOff>
      <xdr:row>126</xdr:row>
      <xdr:rowOff>108857</xdr:rowOff>
    </xdr:from>
    <xdr:to>
      <xdr:col>43</xdr:col>
      <xdr:colOff>359227</xdr:colOff>
      <xdr:row>144</xdr:row>
      <xdr:rowOff>50619</xdr:rowOff>
    </xdr:to>
    <xdr:graphicFrame macro="">
      <xdr:nvGraphicFramePr>
        <xdr:cNvPr id="22" name="Grafico 21">
          <a:extLst>
            <a:ext uri="{FF2B5EF4-FFF2-40B4-BE49-F238E27FC236}">
              <a16:creationId xmlns:a16="http://schemas.microsoft.com/office/drawing/2014/main" id="{00000000-0008-0000-1F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33</xdr:col>
      <xdr:colOff>480060</xdr:colOff>
      <xdr:row>27</xdr:row>
      <xdr:rowOff>44824</xdr:rowOff>
    </xdr:from>
    <xdr:to>
      <xdr:col>40</xdr:col>
      <xdr:colOff>206442</xdr:colOff>
      <xdr:row>41</xdr:row>
      <xdr:rowOff>179294</xdr:rowOff>
    </xdr:to>
    <xdr:graphicFrame macro="">
      <xdr:nvGraphicFramePr>
        <xdr:cNvPr id="23" name="Grafico 22">
          <a:extLst>
            <a:ext uri="{FF2B5EF4-FFF2-40B4-BE49-F238E27FC236}">
              <a16:creationId xmlns:a16="http://schemas.microsoft.com/office/drawing/2014/main" id="{00000000-0008-0000-1F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39</xdr:col>
      <xdr:colOff>111125</xdr:colOff>
      <xdr:row>6</xdr:row>
      <xdr:rowOff>111125</xdr:rowOff>
    </xdr:from>
    <xdr:to>
      <xdr:col>46</xdr:col>
      <xdr:colOff>212725</xdr:colOff>
      <xdr:row>20</xdr:row>
      <xdr:rowOff>111125</xdr:rowOff>
    </xdr:to>
    <xdr:graphicFrame macro="">
      <xdr:nvGraphicFramePr>
        <xdr:cNvPr id="17" name="Grafico 16">
          <a:extLst>
            <a:ext uri="{FF2B5EF4-FFF2-40B4-BE49-F238E27FC236}">
              <a16:creationId xmlns:a16="http://schemas.microsoft.com/office/drawing/2014/main" id="{579E6FF4-3D1E-47EA-A48F-937C0FA9CF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19056</xdr:colOff>
      <xdr:row>163</xdr:row>
      <xdr:rowOff>127000</xdr:rowOff>
    </xdr:from>
    <xdr:to>
      <xdr:col>25</xdr:col>
      <xdr:colOff>627529</xdr:colOff>
      <xdr:row>180</xdr:row>
      <xdr:rowOff>12700</xdr:rowOff>
    </xdr:to>
    <xdr:grpSp>
      <xdr:nvGrpSpPr>
        <xdr:cNvPr id="25" name="Gruppo 24">
          <a:extLst>
            <a:ext uri="{FF2B5EF4-FFF2-40B4-BE49-F238E27FC236}">
              <a16:creationId xmlns:a16="http://schemas.microsoft.com/office/drawing/2014/main" id="{F8855166-4E57-40E0-AD91-8F90F2AF46DE}"/>
            </a:ext>
          </a:extLst>
        </xdr:cNvPr>
        <xdr:cNvGrpSpPr/>
      </xdr:nvGrpSpPr>
      <xdr:grpSpPr>
        <a:xfrm>
          <a:off x="4026280" y="29737424"/>
          <a:ext cx="6946520" cy="2933700"/>
          <a:chOff x="4102106" y="29127450"/>
          <a:chExt cx="10064744" cy="3016250"/>
        </a:xfrm>
      </xdr:grpSpPr>
      <xdr:graphicFrame macro="">
        <xdr:nvGraphicFramePr>
          <xdr:cNvPr id="24" name="Grafico 23">
            <a:extLst>
              <a:ext uri="{FF2B5EF4-FFF2-40B4-BE49-F238E27FC236}">
                <a16:creationId xmlns:a16="http://schemas.microsoft.com/office/drawing/2014/main" id="{1B09E93B-F364-4D22-80C6-AF205D893A38}"/>
              </a:ext>
            </a:extLst>
          </xdr:cNvPr>
          <xdr:cNvGraphicFramePr/>
        </xdr:nvGraphicFramePr>
        <xdr:xfrm>
          <a:off x="9594850" y="29216350"/>
          <a:ext cx="4572000" cy="27432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8" name="Grafico 17">
            <a:extLst>
              <a:ext uri="{FF2B5EF4-FFF2-40B4-BE49-F238E27FC236}">
                <a16:creationId xmlns:a16="http://schemas.microsoft.com/office/drawing/2014/main" id="{C4A53589-E9E0-44E5-B7C1-021BE7E9E251}"/>
              </a:ext>
            </a:extLst>
          </xdr:cNvPr>
          <xdr:cNvGraphicFramePr/>
        </xdr:nvGraphicFramePr>
        <xdr:xfrm>
          <a:off x="4102106" y="29127450"/>
          <a:ext cx="5689594" cy="3016250"/>
        </xdr:xfrm>
        <a:graphic>
          <a:graphicData uri="http://schemas.openxmlformats.org/drawingml/2006/chart">
            <c:chart xmlns:c="http://schemas.openxmlformats.org/drawingml/2006/chart" xmlns:r="http://schemas.openxmlformats.org/officeDocument/2006/relationships" r:id="rId20"/>
          </a:graphicData>
        </a:graphic>
      </xdr:graphicFrame>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306483</xdr:colOff>
      <xdr:row>18</xdr:row>
      <xdr:rowOff>173272</xdr:rowOff>
    </xdr:from>
    <xdr:to>
      <xdr:col>34</xdr:col>
      <xdr:colOff>250453</xdr:colOff>
      <xdr:row>39</xdr:row>
      <xdr:rowOff>51128</xdr:rowOff>
    </xdr:to>
    <xdr:graphicFrame macro="">
      <xdr:nvGraphicFramePr>
        <xdr:cNvPr id="2" name="Grafico 1">
          <a:extLst>
            <a:ext uri="{FF2B5EF4-FFF2-40B4-BE49-F238E27FC236}">
              <a16:creationId xmlns:a16="http://schemas.microsoft.com/office/drawing/2014/main" id="{077C28A1-7933-4DDD-99F3-0FE8E9F8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322170</xdr:colOff>
      <xdr:row>0</xdr:row>
      <xdr:rowOff>0</xdr:rowOff>
    </xdr:from>
    <xdr:to>
      <xdr:col>34</xdr:col>
      <xdr:colOff>266140</xdr:colOff>
      <xdr:row>19</xdr:row>
      <xdr:rowOff>6724</xdr:rowOff>
    </xdr:to>
    <xdr:graphicFrame macro="">
      <xdr:nvGraphicFramePr>
        <xdr:cNvPr id="3" name="Grafico 2">
          <a:extLst>
            <a:ext uri="{FF2B5EF4-FFF2-40B4-BE49-F238E27FC236}">
              <a16:creationId xmlns:a16="http://schemas.microsoft.com/office/drawing/2014/main" id="{D053B6E4-AB3B-408B-8651-36E7E470E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223558</xdr:colOff>
      <xdr:row>40</xdr:row>
      <xdr:rowOff>25772</xdr:rowOff>
    </xdr:from>
    <xdr:to>
      <xdr:col>34</xdr:col>
      <xdr:colOff>172010</xdr:colOff>
      <xdr:row>58</xdr:row>
      <xdr:rowOff>163604</xdr:rowOff>
    </xdr:to>
    <xdr:graphicFrame macro="">
      <xdr:nvGraphicFramePr>
        <xdr:cNvPr id="4" name="Grafico 3">
          <a:extLst>
            <a:ext uri="{FF2B5EF4-FFF2-40B4-BE49-F238E27FC236}">
              <a16:creationId xmlns:a16="http://schemas.microsoft.com/office/drawing/2014/main" id="{9ED9D628-739B-4CD5-81F8-22F700B3F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1.8415E-7</cdr:x>
      <cdr:y>0.02907</cdr:y>
    </cdr:from>
    <cdr:to>
      <cdr:x>0.04983</cdr:x>
      <cdr:y>0.81395</cdr:y>
    </cdr:to>
    <cdr:sp macro="" textlink="">
      <cdr:nvSpPr>
        <cdr:cNvPr id="2" name="CasellaDiTesto 1"/>
        <cdr:cNvSpPr txBox="1"/>
      </cdr:nvSpPr>
      <cdr:spPr>
        <a:xfrm xmlns:a="http://schemas.openxmlformats.org/drawingml/2006/main" rot="16200000">
          <a:off x="-1274577" y="1379014"/>
          <a:ext cx="2819778" cy="2706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0.93573</cdr:x>
      <cdr:y>0.03778</cdr:y>
    </cdr:from>
    <cdr:to>
      <cdr:x>1</cdr:x>
      <cdr:y>0.82267</cdr:y>
    </cdr:to>
    <cdr:sp macro="" textlink="">
      <cdr:nvSpPr>
        <cdr:cNvPr id="3" name="CasellaDiTesto 1"/>
        <cdr:cNvSpPr txBox="1"/>
      </cdr:nvSpPr>
      <cdr:spPr>
        <a:xfrm xmlns:a="http://schemas.openxmlformats.org/drawingml/2006/main" rot="5400000">
          <a:off x="3915915" y="1371121"/>
          <a:ext cx="2819779" cy="3490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0.02907</cdr:y>
    </cdr:from>
    <cdr:to>
      <cdr:x>0.05788</cdr:x>
      <cdr:y>0.81395</cdr:y>
    </cdr:to>
    <cdr:sp macro="" textlink="">
      <cdr:nvSpPr>
        <cdr:cNvPr id="2" name="CasellaDiTesto 1"/>
        <cdr:cNvSpPr txBox="1"/>
      </cdr:nvSpPr>
      <cdr:spPr>
        <a:xfrm xmlns:a="http://schemas.openxmlformats.org/drawingml/2006/main" rot="16200000">
          <a:off x="-1252719" y="1357156"/>
          <a:ext cx="2819765" cy="3143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0.93572</cdr:x>
      <cdr:y>0.04044</cdr:y>
    </cdr:from>
    <cdr:to>
      <cdr:x>1</cdr:x>
      <cdr:y>0.82532</cdr:y>
    </cdr:to>
    <cdr:sp macro="" textlink="">
      <cdr:nvSpPr>
        <cdr:cNvPr id="3" name="CasellaDiTesto 1"/>
        <cdr:cNvSpPr txBox="1"/>
      </cdr:nvSpPr>
      <cdr:spPr>
        <a:xfrm xmlns:a="http://schemas.openxmlformats.org/drawingml/2006/main" rot="5400000">
          <a:off x="3944496" y="1380637"/>
          <a:ext cx="2819765" cy="3490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38.xml><?xml version="1.0" encoding="utf-8"?>
<c:userShapes xmlns:c="http://schemas.openxmlformats.org/drawingml/2006/chart">
  <cdr:relSizeAnchor xmlns:cdr="http://schemas.openxmlformats.org/drawingml/2006/chartDrawing">
    <cdr:from>
      <cdr:x>1.8415E-7</cdr:x>
      <cdr:y>0</cdr:y>
    </cdr:from>
    <cdr:to>
      <cdr:x>0.05788</cdr:x>
      <cdr:y>0.78488</cdr:y>
    </cdr:to>
    <cdr:sp macro="" textlink="">
      <cdr:nvSpPr>
        <cdr:cNvPr id="2" name="CasellaDiTesto 1"/>
        <cdr:cNvSpPr txBox="1"/>
      </cdr:nvSpPr>
      <cdr:spPr>
        <a:xfrm xmlns:a="http://schemas.openxmlformats.org/drawingml/2006/main" rot="16200000">
          <a:off x="-1222075" y="1222076"/>
          <a:ext cx="2758461" cy="314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Ore di funzionamento annuo</a:t>
          </a:r>
        </a:p>
      </cdr:txBody>
    </cdr:sp>
  </cdr:relSizeAnchor>
</c:userShapes>
</file>

<file path=xl/drawings/drawing4.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energia elettrica lorda di origine termica su produzione totale (%)</a:t>
          </a:r>
          <a:endParaRPr lang="it-IT" sz="1100" b="1"/>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364670</xdr:colOff>
      <xdr:row>21</xdr:row>
      <xdr:rowOff>42181</xdr:rowOff>
    </xdr:to>
    <xdr:graphicFrame macro="">
      <xdr:nvGraphicFramePr>
        <xdr:cNvPr id="6" name="Grafico 4">
          <a:extLst>
            <a:ext uri="{FF2B5EF4-FFF2-40B4-BE49-F238E27FC236}">
              <a16:creationId xmlns:a16="http://schemas.microsoft.com/office/drawing/2014/main" id="{8F88F27F-3CCC-4958-A2E4-1F608F927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0.00417</cdr:x>
      <cdr:y>0.03989</cdr:y>
    </cdr:from>
    <cdr:to>
      <cdr:x>0.07812</cdr:x>
      <cdr:y>0.74858</cdr:y>
    </cdr:to>
    <cdr:sp macro="" textlink="">
      <cdr:nvSpPr>
        <cdr:cNvPr id="2" name="CasellaDiTesto 1"/>
        <cdr:cNvSpPr txBox="1"/>
      </cdr:nvSpPr>
      <cdr:spPr>
        <a:xfrm xmlns:a="http://schemas.openxmlformats.org/drawingml/2006/main" rot="16200000">
          <a:off x="-1045176" y="1219702"/>
          <a:ext cx="2621998" cy="4777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200" b="1">
              <a:latin typeface="Arial" panose="020B0604020202020204" pitchFamily="34" charset="0"/>
              <a:cs typeface="Arial" panose="020B0604020202020204" pitchFamily="34" charset="0"/>
            </a:rPr>
            <a:t>Produzione lorda e consumi di energia elettrica </a:t>
          </a:r>
          <a:r>
            <a:rPr lang="it-IT" sz="1200" b="1" baseline="0">
              <a:latin typeface="Arial" panose="020B0604020202020204" pitchFamily="34" charset="0"/>
              <a:cs typeface="Arial" panose="020B0604020202020204" pitchFamily="34" charset="0"/>
            </a:rPr>
            <a:t> (TWh)</a:t>
          </a:r>
          <a:endParaRPr lang="it-IT" sz="1200" b="1">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114300</xdr:rowOff>
    </xdr:from>
    <xdr:to>
      <xdr:col>11</xdr:col>
      <xdr:colOff>124134</xdr:colOff>
      <xdr:row>23</xdr:row>
      <xdr:rowOff>33167</xdr:rowOff>
    </xdr:to>
    <xdr:graphicFrame macro="">
      <xdr:nvGraphicFramePr>
        <xdr:cNvPr id="3" name="Chart 16">
          <a:extLst>
            <a:ext uri="{FF2B5EF4-FFF2-40B4-BE49-F238E27FC236}">
              <a16:creationId xmlns:a16="http://schemas.microsoft.com/office/drawing/2014/main" id="{38527339-5765-4516-BCC5-4ED01063A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376518</xdr:colOff>
      <xdr:row>34</xdr:row>
      <xdr:rowOff>55953</xdr:rowOff>
    </xdr:to>
    <xdr:grpSp>
      <xdr:nvGrpSpPr>
        <xdr:cNvPr id="10" name="Gruppo 9">
          <a:extLst>
            <a:ext uri="{FF2B5EF4-FFF2-40B4-BE49-F238E27FC236}">
              <a16:creationId xmlns:a16="http://schemas.microsoft.com/office/drawing/2014/main" id="{070E0AF9-FD2E-42E3-9DCA-B0FDE11D9B9C}"/>
            </a:ext>
          </a:extLst>
        </xdr:cNvPr>
        <xdr:cNvGrpSpPr/>
      </xdr:nvGrpSpPr>
      <xdr:grpSpPr>
        <a:xfrm>
          <a:off x="0" y="197224"/>
          <a:ext cx="9520518" cy="5972658"/>
          <a:chOff x="39438943" y="8351948"/>
          <a:chExt cx="9296400" cy="5726228"/>
        </a:xfrm>
      </xdr:grpSpPr>
      <xdr:graphicFrame macro="">
        <xdr:nvGraphicFramePr>
          <xdr:cNvPr id="11" name="Grafico 13">
            <a:extLst>
              <a:ext uri="{FF2B5EF4-FFF2-40B4-BE49-F238E27FC236}">
                <a16:creationId xmlns:a16="http://schemas.microsoft.com/office/drawing/2014/main" id="{35BC579E-2AB4-4CAE-B238-40A26FB29F9D}"/>
              </a:ext>
            </a:extLst>
          </xdr:cNvPr>
          <xdr:cNvGraphicFramePr>
            <a:graphicFrameLocks/>
          </xdr:cNvGraphicFramePr>
        </xdr:nvGraphicFramePr>
        <xdr:xfrm>
          <a:off x="39451274" y="8351948"/>
          <a:ext cx="4609414" cy="290874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Grafico 14">
            <a:extLst>
              <a:ext uri="{FF2B5EF4-FFF2-40B4-BE49-F238E27FC236}">
                <a16:creationId xmlns:a16="http://schemas.microsoft.com/office/drawing/2014/main" id="{0D8FF55C-2881-42D3-8AF1-19F1A7F3E8C8}"/>
              </a:ext>
            </a:extLst>
          </xdr:cNvPr>
          <xdr:cNvGraphicFramePr>
            <a:graphicFrameLocks/>
          </xdr:cNvGraphicFramePr>
        </xdr:nvGraphicFramePr>
        <xdr:xfrm>
          <a:off x="44029865" y="8366532"/>
          <a:ext cx="4612153" cy="291135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ico 15">
            <a:extLst>
              <a:ext uri="{FF2B5EF4-FFF2-40B4-BE49-F238E27FC236}">
                <a16:creationId xmlns:a16="http://schemas.microsoft.com/office/drawing/2014/main" id="{BEE1F600-D6D2-4CBC-AB2E-C9F923E99664}"/>
              </a:ext>
            </a:extLst>
          </xdr:cNvPr>
          <xdr:cNvGraphicFramePr>
            <a:graphicFrameLocks/>
          </xdr:cNvGraphicFramePr>
        </xdr:nvGraphicFramePr>
        <xdr:xfrm>
          <a:off x="39438943" y="11142076"/>
          <a:ext cx="4621745" cy="291135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4" name="Grafico 16">
            <a:extLst>
              <a:ext uri="{FF2B5EF4-FFF2-40B4-BE49-F238E27FC236}">
                <a16:creationId xmlns:a16="http://schemas.microsoft.com/office/drawing/2014/main" id="{BEAC8A09-FC60-4354-B0AD-74706B4F6AAC}"/>
              </a:ext>
            </a:extLst>
          </xdr:cNvPr>
          <xdr:cNvGraphicFramePr>
            <a:graphicFrameLocks/>
          </xdr:cNvGraphicFramePr>
        </xdr:nvGraphicFramePr>
        <xdr:xfrm>
          <a:off x="44073289" y="11086582"/>
          <a:ext cx="4662054" cy="2991594"/>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9.xml><?xml version="1.0" encoding="utf-8"?>
<c:userShapes xmlns:c="http://schemas.openxmlformats.org/drawingml/2006/chart">
  <cdr:relSizeAnchor xmlns:cdr="http://schemas.openxmlformats.org/drawingml/2006/chartDrawing">
    <cdr:from>
      <cdr:x>0.01158</cdr:x>
      <cdr:y>0</cdr:y>
    </cdr:from>
    <cdr:to>
      <cdr:x>0.07329</cdr:x>
      <cdr:y>0.82941</cdr:y>
    </cdr:to>
    <cdr:sp macro="" textlink="">
      <cdr:nvSpPr>
        <cdr:cNvPr id="2" name="CasellaDiTesto 1"/>
        <cdr:cNvSpPr txBox="1"/>
      </cdr:nvSpPr>
      <cdr:spPr>
        <a:xfrm xmlns:a="http://schemas.openxmlformats.org/drawingml/2006/main" rot="16200000">
          <a:off x="-1057866" y="1112536"/>
          <a:ext cx="2516365" cy="2912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termoelettrica  (%)</a:t>
          </a:r>
          <a:endParaRPr lang="it-IT" sz="1100" b="1"/>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missioni.sina.isprambiente.i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prambiente.gov.it/it/pubblicazioni/rapporti/indicatori-di-efficienza-e-decarbonizzazione" TargetMode="External"/><Relationship Id="rId2" Type="http://schemas.openxmlformats.org/officeDocument/2006/relationships/hyperlink" Target="https://www.isprambiente.gov.it/it/pubblicazioni/rapporti/efficiency-and-decarbonization-indicators-in-italy-and-in-the-biggest-european-countries-edizione-2023" TargetMode="External"/><Relationship Id="rId1" Type="http://schemas.openxmlformats.org/officeDocument/2006/relationships/hyperlink" Target="mailto:antonio.caputo@isprambiente.it"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www.isprambiente.gov.it/it/pubblicazioni/rapporti/efficiency-and-decarbonization-indicators-in-italy-and-in-the-biggest-european-countries-edition-2024"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D44D-866A-4422-8021-EF0B160560FD}">
  <sheetPr codeName="Foglio5"/>
  <dimension ref="B1:B27"/>
  <sheetViews>
    <sheetView tabSelected="1" zoomScale="85" zoomScaleNormal="85" workbookViewId="0">
      <selection activeCell="B16" sqref="B16"/>
    </sheetView>
  </sheetViews>
  <sheetFormatPr defaultColWidth="9.21875" defaultRowHeight="13.8"/>
  <cols>
    <col min="1" max="1" width="22" style="772" customWidth="1"/>
    <col min="2" max="2" width="138.77734375" style="772" customWidth="1"/>
    <col min="3" max="16384" width="9.21875" style="772"/>
  </cols>
  <sheetData>
    <row r="1" spans="2:2" s="770" customFormat="1"/>
    <row r="2" spans="2:2" s="770" customFormat="1"/>
    <row r="3" spans="2:2" s="770" customFormat="1"/>
    <row r="4" spans="2:2" s="770" customFormat="1"/>
    <row r="5" spans="2:2" s="770" customFormat="1"/>
    <row r="6" spans="2:2" s="770" customFormat="1"/>
    <row r="7" spans="2:2" s="770" customFormat="1" ht="8.1" customHeight="1"/>
    <row r="10" spans="2:2">
      <c r="B10" s="771" t="s">
        <v>588</v>
      </c>
    </row>
    <row r="11" spans="2:2" ht="63" customHeight="1">
      <c r="B11" s="773" t="s">
        <v>589</v>
      </c>
    </row>
    <row r="12" spans="2:2" ht="19.05" customHeight="1">
      <c r="B12" s="774"/>
    </row>
    <row r="13" spans="2:2">
      <c r="B13" s="771" t="s">
        <v>590</v>
      </c>
    </row>
    <row r="14" spans="2:2" ht="22.8">
      <c r="B14" s="775" t="s">
        <v>615</v>
      </c>
    </row>
    <row r="16" spans="2:2">
      <c r="B16" s="771" t="s">
        <v>591</v>
      </c>
    </row>
    <row r="17" spans="2:2" ht="93" customHeight="1">
      <c r="B17" s="776" t="s">
        <v>616</v>
      </c>
    </row>
    <row r="18" spans="2:2" ht="15" customHeight="1"/>
    <row r="19" spans="2:2">
      <c r="B19" s="771" t="s">
        <v>592</v>
      </c>
    </row>
    <row r="20" spans="2:2" ht="17.399999999999999">
      <c r="B20" s="777" t="s">
        <v>593</v>
      </c>
    </row>
    <row r="22" spans="2:2">
      <c r="B22" s="771" t="s">
        <v>594</v>
      </c>
    </row>
    <row r="23" spans="2:2" ht="17.399999999999999">
      <c r="B23" s="777" t="s">
        <v>661</v>
      </c>
    </row>
    <row r="25" spans="2:2">
      <c r="B25" s="771" t="s">
        <v>595</v>
      </c>
    </row>
    <row r="26" spans="2:2" ht="17.399999999999999">
      <c r="B26" s="778" t="s">
        <v>596</v>
      </c>
    </row>
    <row r="27" spans="2:2" ht="17.399999999999999">
      <c r="B27" s="777"/>
    </row>
  </sheetData>
  <hyperlinks>
    <hyperlink ref="B26" r:id="rId1" xr:uid="{C6CB2024-FCCC-4B18-BA55-A85944B1718D}"/>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1"/>
  <dimension ref="A1:AS39"/>
  <sheetViews>
    <sheetView showGridLines="0" zoomScale="70" zoomScaleNormal="70" workbookViewId="0">
      <selection activeCell="O30" sqref="O30"/>
    </sheetView>
  </sheetViews>
  <sheetFormatPr defaultColWidth="9.21875" defaultRowHeight="15.6"/>
  <cols>
    <col min="1" max="1" width="27.5546875" style="2" customWidth="1"/>
    <col min="2" max="2" width="7" style="2" bestFit="1" customWidth="1"/>
    <col min="3" max="6" width="0.21875" style="2" customWidth="1"/>
    <col min="7" max="7" width="7" style="2" bestFit="1" customWidth="1"/>
    <col min="8" max="11" width="0.21875" style="2" customWidth="1"/>
    <col min="12" max="12" width="6.21875" style="2" bestFit="1" customWidth="1"/>
    <col min="13" max="16" width="0.21875" style="2" customWidth="1"/>
    <col min="17" max="25" width="7" style="2" customWidth="1"/>
    <col min="26" max="32" width="7" style="123" customWidth="1"/>
    <col min="33" max="35" width="6.109375" style="123" bestFit="1" customWidth="1"/>
    <col min="36" max="36" width="7.21875" style="2" bestFit="1" customWidth="1"/>
    <col min="37" max="16384" width="9.21875" style="2"/>
  </cols>
  <sheetData>
    <row r="1" spans="1:45">
      <c r="A1" s="608" t="s">
        <v>57</v>
      </c>
      <c r="B1" s="608"/>
    </row>
    <row r="3" spans="1:45">
      <c r="A3" s="1" t="s">
        <v>621</v>
      </c>
    </row>
    <row r="4" spans="1:45" ht="16.2">
      <c r="A4" s="862" t="s">
        <v>0</v>
      </c>
      <c r="B4" s="3">
        <v>1990</v>
      </c>
      <c r="C4" s="4">
        <v>1991</v>
      </c>
      <c r="D4" s="4">
        <v>1992</v>
      </c>
      <c r="E4" s="3">
        <v>1993</v>
      </c>
      <c r="F4" s="3">
        <v>1994</v>
      </c>
      <c r="G4" s="3">
        <v>1995</v>
      </c>
      <c r="H4" s="3">
        <v>1996</v>
      </c>
      <c r="I4" s="3">
        <v>1997</v>
      </c>
      <c r="J4" s="3">
        <v>1998</v>
      </c>
      <c r="K4" s="3">
        <v>1999</v>
      </c>
      <c r="L4" s="3">
        <v>2000</v>
      </c>
      <c r="M4" s="3">
        <v>2001</v>
      </c>
      <c r="N4" s="3">
        <v>2002</v>
      </c>
      <c r="O4" s="3">
        <v>2003</v>
      </c>
      <c r="P4" s="3">
        <v>2004</v>
      </c>
      <c r="Q4" s="3">
        <v>2005</v>
      </c>
      <c r="R4" s="3">
        <v>2006</v>
      </c>
      <c r="S4" s="3">
        <v>2007</v>
      </c>
      <c r="T4" s="3">
        <v>2008</v>
      </c>
      <c r="U4" s="3">
        <v>2009</v>
      </c>
      <c r="V4" s="3">
        <v>2010</v>
      </c>
      <c r="W4" s="3">
        <v>2011</v>
      </c>
      <c r="X4" s="3">
        <v>2012</v>
      </c>
      <c r="Y4" s="3">
        <v>2013</v>
      </c>
      <c r="Z4" s="3">
        <v>2014</v>
      </c>
      <c r="AA4" s="3">
        <v>2015</v>
      </c>
      <c r="AB4" s="3">
        <v>2016</v>
      </c>
      <c r="AC4" s="3">
        <v>2017</v>
      </c>
      <c r="AD4" s="3">
        <v>2018</v>
      </c>
      <c r="AE4" s="3">
        <v>2019</v>
      </c>
      <c r="AF4" s="3">
        <v>2020</v>
      </c>
      <c r="AG4" s="3">
        <v>2021</v>
      </c>
      <c r="AH4" s="3">
        <v>2022</v>
      </c>
      <c r="AI4" s="3">
        <v>2023</v>
      </c>
      <c r="AJ4" s="805" t="s">
        <v>597</v>
      </c>
    </row>
    <row r="5" spans="1:45">
      <c r="A5" s="862"/>
      <c r="B5" s="63" t="s">
        <v>129</v>
      </c>
      <c r="C5" s="64"/>
      <c r="D5" s="64"/>
      <c r="E5" s="64"/>
      <c r="F5" s="64"/>
      <c r="G5" s="64"/>
      <c r="H5" s="64"/>
      <c r="I5" s="64"/>
      <c r="J5" s="64"/>
      <c r="K5" s="64"/>
      <c r="L5" s="64"/>
      <c r="M5" s="64"/>
      <c r="N5" s="64"/>
      <c r="O5" s="64"/>
      <c r="P5" s="64"/>
      <c r="Q5" s="64"/>
      <c r="R5" s="64"/>
      <c r="S5" s="64"/>
      <c r="T5" s="64"/>
      <c r="U5" s="64"/>
      <c r="V5" s="65"/>
      <c r="W5" s="65"/>
      <c r="X5" s="65"/>
      <c r="Y5" s="65"/>
      <c r="Z5" s="65"/>
      <c r="AA5" s="65"/>
      <c r="AB5" s="65"/>
      <c r="AC5" s="65"/>
      <c r="AD5" s="65"/>
      <c r="AE5" s="65"/>
      <c r="AF5" s="65"/>
      <c r="AG5" s="65"/>
      <c r="AH5" s="65"/>
      <c r="AI5" s="65"/>
      <c r="AJ5" s="65"/>
    </row>
    <row r="6" spans="1:45">
      <c r="A6" s="7" t="s">
        <v>90</v>
      </c>
      <c r="B6" s="175">
        <v>35.079000000000001</v>
      </c>
      <c r="C6" s="175">
        <v>45.606499999999997</v>
      </c>
      <c r="D6" s="175">
        <v>45.786000000000001</v>
      </c>
      <c r="E6" s="175">
        <v>44.481999999999999</v>
      </c>
      <c r="F6" s="175">
        <v>47.731099999999998</v>
      </c>
      <c r="G6" s="175">
        <v>41.905800000000006</v>
      </c>
      <c r="H6" s="175">
        <v>47.070599999999999</v>
      </c>
      <c r="I6" s="175">
        <v>46.5488</v>
      </c>
      <c r="J6" s="175">
        <v>47.358600000000003</v>
      </c>
      <c r="K6" s="175">
        <v>51.77</v>
      </c>
      <c r="L6" s="175">
        <v>50.9</v>
      </c>
      <c r="M6" s="175">
        <v>53.925400000000003</v>
      </c>
      <c r="N6" s="175">
        <v>47.262300000000003</v>
      </c>
      <c r="O6" s="175">
        <v>44.276000000000003</v>
      </c>
      <c r="P6" s="175">
        <v>49.907799999999995</v>
      </c>
      <c r="Q6" s="175">
        <v>42.926699999999997</v>
      </c>
      <c r="R6" s="175">
        <v>43.425400000000003</v>
      </c>
      <c r="S6" s="175">
        <v>38.481199999999994</v>
      </c>
      <c r="T6" s="175">
        <v>47.226999999999997</v>
      </c>
      <c r="U6" s="175">
        <v>53.442500000000003</v>
      </c>
      <c r="V6" s="175">
        <v>54.406779999999998</v>
      </c>
      <c r="W6" s="175">
        <v>47.756660000000004</v>
      </c>
      <c r="X6" s="175">
        <v>43.853899999999996</v>
      </c>
      <c r="Y6" s="175">
        <v>54.671399999999998</v>
      </c>
      <c r="Z6" s="175">
        <v>60.256399999999999</v>
      </c>
      <c r="AA6" s="175">
        <v>46.9694</v>
      </c>
      <c r="AB6" s="175">
        <v>44.256999999999998</v>
      </c>
      <c r="AC6" s="175">
        <v>38.024699999999996</v>
      </c>
      <c r="AD6" s="175">
        <v>50.502839999999999</v>
      </c>
      <c r="AE6" s="175">
        <v>48.153500000000001</v>
      </c>
      <c r="AF6" s="175">
        <v>49.495255327720052</v>
      </c>
      <c r="AG6" s="175">
        <v>47.478300000000004</v>
      </c>
      <c r="AH6" s="175">
        <v>30.290800000000001</v>
      </c>
      <c r="AI6" s="175">
        <v>42.068300000000001</v>
      </c>
      <c r="AJ6" s="293">
        <v>54.447948849636752</v>
      </c>
    </row>
    <row r="7" spans="1:45">
      <c r="A7" s="828" t="s">
        <v>128</v>
      </c>
      <c r="B7" s="829">
        <v>5.7720000000000002</v>
      </c>
      <c r="C7" s="829">
        <v>6.9139999999999997</v>
      </c>
      <c r="D7" s="829">
        <v>7.5190000000000001</v>
      </c>
      <c r="E7" s="829">
        <v>7.4059999999999997</v>
      </c>
      <c r="F7" s="829">
        <v>7.7720000000000002</v>
      </c>
      <c r="G7" s="829">
        <v>6.5620000000000003</v>
      </c>
      <c r="H7" s="829">
        <v>7.101</v>
      </c>
      <c r="I7" s="829">
        <v>7.0039999999999996</v>
      </c>
      <c r="J7" s="829">
        <v>7.1379999999999999</v>
      </c>
      <c r="K7" s="829">
        <v>7.6689999999999996</v>
      </c>
      <c r="L7" s="829">
        <v>1.7983</v>
      </c>
      <c r="M7" s="829">
        <v>1.6818</v>
      </c>
      <c r="N7" s="829">
        <v>1.4621999999999999</v>
      </c>
      <c r="O7" s="829">
        <v>1.091</v>
      </c>
      <c r="P7" s="829">
        <v>0.99199999999999999</v>
      </c>
      <c r="Q7" s="829">
        <v>0.79900000000000004</v>
      </c>
      <c r="R7" s="829">
        <v>0.85899999999999999</v>
      </c>
      <c r="S7" s="829">
        <v>0.70399999999999996</v>
      </c>
      <c r="T7" s="829">
        <v>0.876</v>
      </c>
      <c r="U7" s="829">
        <v>0.88900000000000001</v>
      </c>
      <c r="V7" s="829">
        <v>0.92700000000000005</v>
      </c>
      <c r="W7" s="829">
        <v>0.86760000000000004</v>
      </c>
      <c r="X7" s="829">
        <v>0.57329999999999992</v>
      </c>
      <c r="Y7" s="829">
        <v>0.62690000000000001</v>
      </c>
      <c r="Z7" s="829">
        <v>0.73820000000000008</v>
      </c>
      <c r="AA7" s="829">
        <v>0.60880000000000001</v>
      </c>
      <c r="AB7" s="829">
        <v>0.56169999999999998</v>
      </c>
      <c r="AC7" s="829">
        <v>0.48870000000000002</v>
      </c>
      <c r="AD7" s="829">
        <v>0.46579999999999999</v>
      </c>
      <c r="AE7" s="829">
        <v>0.49199999999999999</v>
      </c>
      <c r="AF7" s="829">
        <v>0.46489999999999998</v>
      </c>
      <c r="AG7" s="829">
        <v>0.46899999999999997</v>
      </c>
      <c r="AH7" s="829">
        <v>0.34910000000000002</v>
      </c>
      <c r="AI7" s="829">
        <v>0.43009999999999998</v>
      </c>
      <c r="AJ7" s="293">
        <f>AI7/AI6*AJ6</f>
        <v>0.55666767614162604</v>
      </c>
    </row>
    <row r="8" spans="1:45">
      <c r="A8" s="7" t="s">
        <v>92</v>
      </c>
      <c r="B8" s="175">
        <v>178.29300000000001</v>
      </c>
      <c r="C8" s="175">
        <v>173.02</v>
      </c>
      <c r="D8" s="175">
        <v>176.99799999999999</v>
      </c>
      <c r="E8" s="175">
        <v>174.63800000000001</v>
      </c>
      <c r="F8" s="175">
        <v>180.64699999999999</v>
      </c>
      <c r="G8" s="175">
        <v>196.124</v>
      </c>
      <c r="H8" s="175">
        <v>193.55199999999999</v>
      </c>
      <c r="I8" s="175">
        <v>200.88300000000001</v>
      </c>
      <c r="J8" s="175">
        <v>207.97399999999999</v>
      </c>
      <c r="K8" s="175">
        <v>209.06700000000001</v>
      </c>
      <c r="L8" s="175">
        <v>220.45599999999999</v>
      </c>
      <c r="M8" s="175">
        <v>219.37899999999999</v>
      </c>
      <c r="N8" s="175">
        <v>231.92699999999999</v>
      </c>
      <c r="O8" s="175">
        <v>242.785</v>
      </c>
      <c r="P8" s="175">
        <v>246.12759999999997</v>
      </c>
      <c r="Q8" s="175">
        <v>253.07230000000001</v>
      </c>
      <c r="R8" s="175">
        <v>262.1644</v>
      </c>
      <c r="S8" s="175">
        <v>265.76410000000004</v>
      </c>
      <c r="T8" s="175">
        <v>261.32800000000003</v>
      </c>
      <c r="U8" s="175">
        <v>226.63890000000004</v>
      </c>
      <c r="V8" s="175">
        <v>231.24779999999998</v>
      </c>
      <c r="W8" s="175">
        <v>228.51739999999998</v>
      </c>
      <c r="X8" s="175">
        <v>217.56179999999998</v>
      </c>
      <c r="Y8" s="175">
        <v>192.98770000000002</v>
      </c>
      <c r="Z8" s="175">
        <v>176.17080000000001</v>
      </c>
      <c r="AA8" s="175">
        <v>192.05340000000001</v>
      </c>
      <c r="AB8" s="175">
        <v>199.42959999999999</v>
      </c>
      <c r="AC8" s="175">
        <v>209.48449317200001</v>
      </c>
      <c r="AD8" s="175">
        <v>192.73001972702002</v>
      </c>
      <c r="AE8" s="175">
        <v>195.73388719753999</v>
      </c>
      <c r="AF8" s="175">
        <v>181.30658567227997</v>
      </c>
      <c r="AG8" s="175">
        <v>189.71110605539999</v>
      </c>
      <c r="AH8" s="175">
        <v>199.21802303983</v>
      </c>
      <c r="AI8" s="175">
        <v>162.58772462643901</v>
      </c>
      <c r="AJ8" s="293">
        <v>152.61882934452817</v>
      </c>
    </row>
    <row r="9" spans="1:45">
      <c r="A9" s="828" t="s">
        <v>128</v>
      </c>
      <c r="B9" s="829">
        <v>20.524000000000001</v>
      </c>
      <c r="C9" s="829">
        <v>22.254999999999999</v>
      </c>
      <c r="D9" s="829">
        <v>24.600999999999999</v>
      </c>
      <c r="E9" s="829">
        <v>27.562000000000001</v>
      </c>
      <c r="F9" s="829">
        <v>30.84</v>
      </c>
      <c r="G9" s="829">
        <v>33.621000000000002</v>
      </c>
      <c r="H9" s="829">
        <v>36.682000000000002</v>
      </c>
      <c r="I9" s="829">
        <v>46.02</v>
      </c>
      <c r="J9" s="829">
        <v>50.667999999999999</v>
      </c>
      <c r="K9" s="829">
        <v>55.475000000000001</v>
      </c>
      <c r="L9" s="829">
        <v>19.359599999999997</v>
      </c>
      <c r="M9" s="829">
        <v>18.7486</v>
      </c>
      <c r="N9" s="829">
        <v>18.788</v>
      </c>
      <c r="O9" s="829">
        <v>18.433</v>
      </c>
      <c r="P9" s="829">
        <v>18.045000000000002</v>
      </c>
      <c r="Q9" s="829">
        <v>18.988</v>
      </c>
      <c r="R9" s="829">
        <v>17.495000000000001</v>
      </c>
      <c r="S9" s="829">
        <v>18.411999999999999</v>
      </c>
      <c r="T9" s="829">
        <v>17.885999999999999</v>
      </c>
      <c r="U9" s="829">
        <v>19.382000000000001</v>
      </c>
      <c r="V9" s="829">
        <v>22.934999999999999</v>
      </c>
      <c r="W9" s="829">
        <v>22.685500000000001</v>
      </c>
      <c r="X9" s="829">
        <v>15.4832</v>
      </c>
      <c r="Y9" s="829">
        <v>15.443200000000001</v>
      </c>
      <c r="Z9" s="829">
        <v>15.0039</v>
      </c>
      <c r="AA9" s="829">
        <v>18.474</v>
      </c>
      <c r="AB9" s="829">
        <v>17.9056</v>
      </c>
      <c r="AC9" s="829">
        <v>19.292899999999999</v>
      </c>
      <c r="AD9" s="829">
        <v>22.317699999999999</v>
      </c>
      <c r="AE9" s="829">
        <v>21.847799999999999</v>
      </c>
      <c r="AF9" s="829">
        <v>19.8657</v>
      </c>
      <c r="AG9" s="829">
        <v>22.398</v>
      </c>
      <c r="AH9" s="829">
        <v>21.6922</v>
      </c>
      <c r="AI9" s="829">
        <v>22.3626</v>
      </c>
      <c r="AJ9" s="293">
        <f>AI9/AI8*AJ8</f>
        <v>20.9914607080057</v>
      </c>
    </row>
    <row r="10" spans="1:45">
      <c r="A10" s="7" t="s">
        <v>2</v>
      </c>
      <c r="B10" s="175">
        <v>3.222</v>
      </c>
      <c r="C10" s="175">
        <v>3.1819999999999999</v>
      </c>
      <c r="D10" s="175">
        <v>3.4590000000000001</v>
      </c>
      <c r="E10" s="175">
        <v>3.6669999999999998</v>
      </c>
      <c r="F10" s="175">
        <v>3.4173</v>
      </c>
      <c r="G10" s="175">
        <v>3.4356</v>
      </c>
      <c r="H10" s="175">
        <v>3.7624</v>
      </c>
      <c r="I10" s="175">
        <v>3.9051999999999998</v>
      </c>
      <c r="J10" s="175">
        <v>4.2137000000000002</v>
      </c>
      <c r="K10" s="175">
        <v>4.4026999999999994</v>
      </c>
      <c r="L10" s="175">
        <v>4.7051999999999996</v>
      </c>
      <c r="M10" s="175">
        <v>4.5066000000000006</v>
      </c>
      <c r="N10" s="175">
        <v>4.6623000000000001</v>
      </c>
      <c r="O10" s="175">
        <v>5.3404999999999996</v>
      </c>
      <c r="P10" s="175">
        <v>5.4373000000000005</v>
      </c>
      <c r="Q10" s="175">
        <v>5.3244999999999996</v>
      </c>
      <c r="R10" s="175">
        <v>5.5273999999999992</v>
      </c>
      <c r="S10" s="175">
        <v>5.5691000000000006</v>
      </c>
      <c r="T10" s="175">
        <v>5.5202999999999998</v>
      </c>
      <c r="U10" s="175">
        <v>5.3418000000000001</v>
      </c>
      <c r="V10" s="175">
        <v>5.3758999999999997</v>
      </c>
      <c r="W10" s="175">
        <v>5.6543000000000001</v>
      </c>
      <c r="X10" s="175">
        <v>5.5916999999999994</v>
      </c>
      <c r="Y10" s="175">
        <v>5.6592000000000002</v>
      </c>
      <c r="Z10" s="175">
        <v>5.9163000000000006</v>
      </c>
      <c r="AA10" s="175">
        <v>6.1849999999999996</v>
      </c>
      <c r="AB10" s="175">
        <v>6.2886000000000006</v>
      </c>
      <c r="AC10" s="175">
        <v>6.2012</v>
      </c>
      <c r="AD10" s="175">
        <v>6.1053999999999995</v>
      </c>
      <c r="AE10" s="175">
        <v>6.0748999999999995</v>
      </c>
      <c r="AF10" s="175">
        <v>6.0261120000000004</v>
      </c>
      <c r="AG10" s="175">
        <v>5.9138000000000002</v>
      </c>
      <c r="AH10" s="175">
        <v>5.8369</v>
      </c>
      <c r="AI10" s="175">
        <v>5.6921999999999997</v>
      </c>
      <c r="AJ10" s="293">
        <v>5.6418739277652374</v>
      </c>
    </row>
    <row r="11" spans="1:45">
      <c r="A11" s="7" t="s">
        <v>3</v>
      </c>
      <c r="B11" s="175">
        <v>6.0000000000000001E-3</v>
      </c>
      <c r="C11" s="175">
        <v>8.0000000000000002E-3</v>
      </c>
      <c r="D11" s="175">
        <v>1.0999999999999999E-2</v>
      </c>
      <c r="E11" s="175">
        <v>1.4999999999999999E-2</v>
      </c>
      <c r="F11" s="175">
        <v>1.7299999999999999E-2</v>
      </c>
      <c r="G11" s="175">
        <v>2.29E-2</v>
      </c>
      <c r="H11" s="175">
        <v>4.6700000000000005E-2</v>
      </c>
      <c r="I11" s="175">
        <v>0.1328</v>
      </c>
      <c r="J11" s="175">
        <v>0.24769999999999998</v>
      </c>
      <c r="K11" s="175">
        <v>0.41949999999999998</v>
      </c>
      <c r="L11" s="175">
        <v>0.58110000000000006</v>
      </c>
      <c r="M11" s="175">
        <v>1.1976</v>
      </c>
      <c r="N11" s="175">
        <v>1.4252</v>
      </c>
      <c r="O11" s="175">
        <v>1.4824000000000002</v>
      </c>
      <c r="P11" s="175">
        <v>1.8754999999999999</v>
      </c>
      <c r="Q11" s="175">
        <v>2.3744000000000001</v>
      </c>
      <c r="R11" s="175">
        <v>3.0057</v>
      </c>
      <c r="S11" s="175">
        <v>4.0734000000000004</v>
      </c>
      <c r="T11" s="175">
        <v>5.0543000000000005</v>
      </c>
      <c r="U11" s="175">
        <v>7.2193999999999994</v>
      </c>
      <c r="V11" s="175">
        <v>11.031600000000001</v>
      </c>
      <c r="W11" s="175">
        <v>20.652099999999997</v>
      </c>
      <c r="X11" s="175">
        <v>32.268800000000006</v>
      </c>
      <c r="Y11" s="175">
        <v>36.485599999999998</v>
      </c>
      <c r="Z11" s="175">
        <v>37.484699999999997</v>
      </c>
      <c r="AA11" s="175">
        <v>37.786099999999998</v>
      </c>
      <c r="AB11" s="175">
        <v>39.792999999999999</v>
      </c>
      <c r="AC11" s="175">
        <v>42.119600000000005</v>
      </c>
      <c r="AD11" s="175">
        <v>40.370199999999997</v>
      </c>
      <c r="AE11" s="175">
        <v>43.890900000000002</v>
      </c>
      <c r="AF11" s="175">
        <v>43.703060999999998</v>
      </c>
      <c r="AG11" s="175">
        <v>45.966300000000004</v>
      </c>
      <c r="AH11" s="175">
        <v>48.615699999999997</v>
      </c>
      <c r="AI11" s="175">
        <v>54.351599999999998</v>
      </c>
      <c r="AJ11" s="293">
        <v>58.981197832422097</v>
      </c>
    </row>
    <row r="12" spans="1:45">
      <c r="A12" s="828" t="s">
        <v>128</v>
      </c>
      <c r="B12" s="830"/>
      <c r="C12" s="830"/>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30"/>
      <c r="AE12" s="830"/>
      <c r="AF12" s="830">
        <f>4.4/1000</f>
        <v>4.4000000000000003E-3</v>
      </c>
      <c r="AG12" s="830">
        <f>4.1/1000</f>
        <v>4.0999999999999995E-3</v>
      </c>
      <c r="AH12" s="830">
        <v>3.0000000000000001E-3</v>
      </c>
      <c r="AI12" s="830">
        <f>(2.2+2993.8)/1000</f>
        <v>2.996</v>
      </c>
      <c r="AJ12" s="293">
        <f>AI12/AI11*AJ11</f>
        <v>3.2511953411847418</v>
      </c>
    </row>
    <row r="13" spans="1:45">
      <c r="A13" s="7" t="s">
        <v>635</v>
      </c>
      <c r="B13" s="175">
        <v>0</v>
      </c>
      <c r="C13" s="175">
        <v>0</v>
      </c>
      <c r="D13" s="175">
        <v>0</v>
      </c>
      <c r="E13" s="175">
        <v>0</v>
      </c>
      <c r="F13" s="175">
        <v>0</v>
      </c>
      <c r="G13" s="175">
        <v>0</v>
      </c>
      <c r="H13" s="175">
        <v>0</v>
      </c>
      <c r="I13" s="175">
        <v>0</v>
      </c>
      <c r="J13" s="175">
        <v>0</v>
      </c>
      <c r="K13" s="175">
        <v>0</v>
      </c>
      <c r="L13" s="175">
        <v>0</v>
      </c>
      <c r="M13" s="175">
        <v>0</v>
      </c>
      <c r="N13" s="175">
        <v>0</v>
      </c>
      <c r="O13" s="175">
        <v>0</v>
      </c>
      <c r="P13" s="175">
        <v>0</v>
      </c>
      <c r="Q13" s="175">
        <v>0</v>
      </c>
      <c r="R13" s="175">
        <v>0</v>
      </c>
      <c r="S13" s="175">
        <v>0</v>
      </c>
      <c r="T13" s="175">
        <v>0</v>
      </c>
      <c r="U13" s="175">
        <v>0</v>
      </c>
      <c r="V13" s="175">
        <v>0</v>
      </c>
      <c r="W13" s="175">
        <v>0</v>
      </c>
      <c r="X13" s="175">
        <v>0</v>
      </c>
      <c r="Y13" s="175">
        <v>0</v>
      </c>
      <c r="Z13" s="175">
        <v>0</v>
      </c>
      <c r="AA13" s="175">
        <v>0</v>
      </c>
      <c r="AB13" s="175">
        <v>0</v>
      </c>
      <c r="AC13" s="175">
        <v>0</v>
      </c>
      <c r="AD13" s="175">
        <v>0</v>
      </c>
      <c r="AE13" s="175">
        <v>0</v>
      </c>
      <c r="AF13" s="175">
        <v>0</v>
      </c>
      <c r="AG13" s="175">
        <v>0</v>
      </c>
      <c r="AH13" s="175">
        <v>0</v>
      </c>
      <c r="AI13" s="175">
        <v>8.4000000000000012E-3</v>
      </c>
      <c r="AJ13" s="827">
        <v>0.12</v>
      </c>
    </row>
    <row r="14" spans="1:45">
      <c r="A14" s="828" t="s">
        <v>128</v>
      </c>
      <c r="B14" s="830"/>
      <c r="C14" s="830"/>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c r="AG14" s="830"/>
      <c r="AH14" s="830"/>
      <c r="AI14" s="830">
        <f>2.6/1000</f>
        <v>2.5999999999999999E-3</v>
      </c>
      <c r="AJ14" s="293">
        <f>AI14/AI13*AJ13</f>
        <v>3.7142857142857137E-2</v>
      </c>
    </row>
    <row r="15" spans="1:45" ht="16.2">
      <c r="A15" s="6" t="s">
        <v>10</v>
      </c>
      <c r="B15" s="134">
        <f>SUM(B6,B8,B10:B11,B13)</f>
        <v>216.60000000000002</v>
      </c>
      <c r="C15" s="134">
        <f t="shared" ref="C15:AJ15" si="0">SUM(C6,C8,C10:C11,C13)</f>
        <v>221.81650000000002</v>
      </c>
      <c r="D15" s="134">
        <f t="shared" si="0"/>
        <v>226.25399999999999</v>
      </c>
      <c r="E15" s="134">
        <f t="shared" si="0"/>
        <v>222.80199999999999</v>
      </c>
      <c r="F15" s="134">
        <f t="shared" si="0"/>
        <v>231.81270000000001</v>
      </c>
      <c r="G15" s="134">
        <f t="shared" si="0"/>
        <v>241.48829999999998</v>
      </c>
      <c r="H15" s="134">
        <f t="shared" si="0"/>
        <v>244.43169999999998</v>
      </c>
      <c r="I15" s="134">
        <f t="shared" si="0"/>
        <v>251.46980000000002</v>
      </c>
      <c r="J15" s="134">
        <f t="shared" si="0"/>
        <v>259.79399999999998</v>
      </c>
      <c r="K15" s="134">
        <f t="shared" si="0"/>
        <v>265.6592</v>
      </c>
      <c r="L15" s="134">
        <f t="shared" si="0"/>
        <v>276.64229999999998</v>
      </c>
      <c r="M15" s="134">
        <f t="shared" si="0"/>
        <v>279.0086</v>
      </c>
      <c r="N15" s="134">
        <f t="shared" si="0"/>
        <v>285.27680000000004</v>
      </c>
      <c r="O15" s="134">
        <f t="shared" si="0"/>
        <v>293.88389999999998</v>
      </c>
      <c r="P15" s="134">
        <f t="shared" si="0"/>
        <v>303.34819999999996</v>
      </c>
      <c r="Q15" s="134">
        <f t="shared" si="0"/>
        <v>303.6979</v>
      </c>
      <c r="R15" s="134">
        <f t="shared" si="0"/>
        <v>314.12290000000002</v>
      </c>
      <c r="S15" s="134">
        <f t="shared" si="0"/>
        <v>313.88780000000003</v>
      </c>
      <c r="T15" s="134">
        <f t="shared" si="0"/>
        <v>319.12960000000004</v>
      </c>
      <c r="U15" s="134">
        <f t="shared" si="0"/>
        <v>292.64260000000002</v>
      </c>
      <c r="V15" s="134">
        <f t="shared" si="0"/>
        <v>302.06208000000004</v>
      </c>
      <c r="W15" s="134">
        <f t="shared" si="0"/>
        <v>302.58045999999996</v>
      </c>
      <c r="X15" s="134">
        <f t="shared" si="0"/>
        <v>299.27619999999996</v>
      </c>
      <c r="Y15" s="134">
        <f t="shared" si="0"/>
        <v>289.8039</v>
      </c>
      <c r="Z15" s="134">
        <f t="shared" si="0"/>
        <v>279.82820000000004</v>
      </c>
      <c r="AA15" s="134">
        <f t="shared" si="0"/>
        <v>282.9939</v>
      </c>
      <c r="AB15" s="134">
        <f t="shared" si="0"/>
        <v>289.76819999999998</v>
      </c>
      <c r="AC15" s="134">
        <f t="shared" si="0"/>
        <v>295.829993172</v>
      </c>
      <c r="AD15" s="134">
        <f t="shared" si="0"/>
        <v>289.70845972702</v>
      </c>
      <c r="AE15" s="134">
        <f t="shared" si="0"/>
        <v>293.85318719753997</v>
      </c>
      <c r="AF15" s="134">
        <f t="shared" si="0"/>
        <v>280.53101400000003</v>
      </c>
      <c r="AG15" s="134">
        <f t="shared" si="0"/>
        <v>289.06950605540004</v>
      </c>
      <c r="AH15" s="134">
        <f t="shared" si="0"/>
        <v>283.96142303982998</v>
      </c>
      <c r="AI15" s="134">
        <f t="shared" si="0"/>
        <v>264.70822462643901</v>
      </c>
      <c r="AJ15" s="178">
        <f t="shared" si="0"/>
        <v>271.80984995435227</v>
      </c>
    </row>
    <row r="16" spans="1:45">
      <c r="A16" s="2" t="s">
        <v>362</v>
      </c>
      <c r="AK16" s="550"/>
      <c r="AL16" s="550"/>
      <c r="AM16" s="550"/>
      <c r="AN16" s="550"/>
      <c r="AO16" s="550"/>
      <c r="AP16" s="550"/>
      <c r="AQ16" s="550"/>
      <c r="AR16" s="550"/>
      <c r="AS16" s="550"/>
    </row>
    <row r="17" spans="1:45">
      <c r="A17" s="2" t="s">
        <v>91</v>
      </c>
      <c r="V17" s="124"/>
      <c r="W17" s="124"/>
      <c r="X17" s="124"/>
      <c r="Y17" s="124"/>
      <c r="Z17" s="124"/>
      <c r="AA17" s="124"/>
      <c r="AB17" s="124"/>
      <c r="AE17" s="124"/>
      <c r="AF17" s="124"/>
      <c r="AG17" s="124"/>
      <c r="AH17" s="124"/>
      <c r="AI17" s="124"/>
      <c r="AJ17" s="124"/>
      <c r="AK17" s="550"/>
      <c r="AL17" s="550"/>
      <c r="AM17" s="550"/>
      <c r="AN17" s="550"/>
      <c r="AO17" s="550"/>
      <c r="AP17" s="550"/>
      <c r="AQ17" s="550"/>
      <c r="AR17" s="550"/>
      <c r="AS17" s="550"/>
    </row>
    <row r="19" spans="1:45">
      <c r="A19" s="458"/>
      <c r="B19" s="551"/>
      <c r="C19" s="461"/>
      <c r="D19" s="461"/>
      <c r="E19" s="461"/>
      <c r="F19" s="461"/>
      <c r="G19" s="551"/>
      <c r="H19" s="461"/>
      <c r="I19" s="461"/>
      <c r="J19" s="461"/>
      <c r="K19" s="461"/>
      <c r="L19" s="551"/>
      <c r="M19" s="461"/>
      <c r="N19" s="461"/>
      <c r="O19" s="461"/>
      <c r="P19" s="461"/>
      <c r="Q19" s="124"/>
      <c r="R19" s="124"/>
      <c r="S19" s="124"/>
      <c r="T19" s="124"/>
      <c r="U19" s="124"/>
      <c r="V19" s="750"/>
      <c r="W19" s="750"/>
      <c r="X19" s="750"/>
      <c r="Y19" s="801"/>
      <c r="Z19" s="801"/>
      <c r="AA19" s="801"/>
      <c r="AB19" s="801"/>
      <c r="AC19" s="801"/>
      <c r="AD19" s="801"/>
      <c r="AE19" s="801"/>
      <c r="AF19" s="801"/>
      <c r="AG19" s="801"/>
      <c r="AH19" s="801"/>
      <c r="AI19" s="801"/>
      <c r="AJ19" s="458"/>
    </row>
    <row r="20" spans="1:45">
      <c r="A20" s="458"/>
      <c r="B20" s="460"/>
      <c r="C20" s="460"/>
      <c r="D20" s="460"/>
      <c r="E20" s="460"/>
      <c r="F20" s="460"/>
      <c r="G20" s="460"/>
      <c r="H20" s="460"/>
      <c r="I20" s="460"/>
      <c r="J20" s="460"/>
      <c r="K20" s="460"/>
      <c r="L20" s="460"/>
      <c r="M20" s="460"/>
      <c r="N20" s="460"/>
      <c r="O20" s="458"/>
      <c r="P20" s="458"/>
      <c r="Q20" s="458"/>
      <c r="R20" s="458"/>
      <c r="S20" s="458"/>
      <c r="T20" s="458"/>
      <c r="U20" s="458"/>
      <c r="V20" s="458"/>
      <c r="W20" s="458"/>
      <c r="X20" s="458"/>
      <c r="Y20" s="461"/>
      <c r="Z20" s="462"/>
      <c r="AA20" s="462"/>
      <c r="AB20" s="462"/>
      <c r="AC20" s="462"/>
      <c r="AD20" s="462"/>
      <c r="AE20" s="462"/>
      <c r="AF20" s="462"/>
      <c r="AG20" s="462"/>
      <c r="AH20" s="462"/>
      <c r="AI20" s="462"/>
      <c r="AJ20" s="462"/>
    </row>
    <row r="21" spans="1:45">
      <c r="A21" s="458"/>
      <c r="B21" s="463"/>
      <c r="C21" s="463"/>
      <c r="D21" s="463"/>
      <c r="E21" s="463"/>
      <c r="F21" s="463"/>
      <c r="G21" s="463"/>
      <c r="H21" s="463"/>
      <c r="I21" s="463"/>
      <c r="J21" s="463"/>
      <c r="K21" s="463"/>
      <c r="L21" s="463"/>
      <c r="M21" s="463"/>
      <c r="N21" s="463"/>
      <c r="O21" s="463"/>
      <c r="P21" s="463"/>
      <c r="Q21" s="463"/>
      <c r="R21" s="463"/>
      <c r="S21" s="463"/>
      <c r="T21" s="463"/>
      <c r="U21" s="463"/>
      <c r="V21" s="463"/>
      <c r="W21" s="463"/>
      <c r="X21" s="463"/>
      <c r="Y21" s="463"/>
      <c r="Z21" s="463"/>
      <c r="AA21" s="463"/>
      <c r="AB21" s="463"/>
      <c r="AC21" s="463"/>
      <c r="AD21" s="463"/>
      <c r="AE21" s="459"/>
      <c r="AF21" s="459"/>
      <c r="AG21" s="459"/>
      <c r="AH21" s="459"/>
      <c r="AI21" s="459"/>
      <c r="AJ21" s="458"/>
    </row>
    <row r="22" spans="1:45">
      <c r="A22" s="574" t="s">
        <v>394</v>
      </c>
      <c r="B22" s="575"/>
      <c r="C22" s="575"/>
      <c r="D22" s="575"/>
      <c r="E22" s="575"/>
      <c r="F22" s="575"/>
      <c r="G22" s="575"/>
      <c r="H22" s="575"/>
      <c r="I22" s="575"/>
      <c r="J22" s="575"/>
      <c r="K22" s="575"/>
      <c r="L22" s="575"/>
      <c r="M22" s="575"/>
      <c r="N22" s="575"/>
      <c r="O22" s="575"/>
      <c r="P22" s="575"/>
      <c r="Q22" s="575">
        <f>Q15+'13'!Q15</f>
        <v>352.85289999999998</v>
      </c>
      <c r="R22" s="575">
        <f>R15+'13'!R15</f>
        <v>359.10790000000003</v>
      </c>
      <c r="S22" s="575">
        <f>S15+'13'!S15</f>
        <v>360.17080000000004</v>
      </c>
      <c r="T22" s="575">
        <f>T15+'13'!T15</f>
        <v>359.16460000000006</v>
      </c>
      <c r="U22" s="575">
        <f>U15+'13'!U15</f>
        <v>337.60160000000002</v>
      </c>
      <c r="V22" s="575">
        <f>V15+'13'!V15</f>
        <v>346.22208000000001</v>
      </c>
      <c r="W22" s="575">
        <f>W15+'13'!W15</f>
        <v>348.31245999999999</v>
      </c>
      <c r="X22" s="575">
        <f>X15+'13'!X15</f>
        <v>342.37919999999997</v>
      </c>
      <c r="Y22" s="575">
        <f>Y15+'13'!Y15</f>
        <v>331.94189999999998</v>
      </c>
      <c r="Z22" s="575">
        <f>Z15+'13'!Z15</f>
        <v>323.54420000000005</v>
      </c>
      <c r="AA22" s="575">
        <f>AA15+'13'!AA15</f>
        <v>329.37189999999998</v>
      </c>
      <c r="AB22" s="575">
        <f>AB15+'13'!AB15</f>
        <v>326.79519999999997</v>
      </c>
      <c r="AC22" s="575">
        <f>AC15+'13'!AC15</f>
        <v>333.590643172</v>
      </c>
      <c r="AD22" s="575">
        <f>AD15+'13'!AD15</f>
        <v>333.60724872701996</v>
      </c>
      <c r="AE22" s="575">
        <f>AE15+'13'!AE15</f>
        <v>331.99438719753999</v>
      </c>
      <c r="AF22" s="575">
        <f>AF15+'13'!AF15</f>
        <v>312.73141400000003</v>
      </c>
      <c r="AG22" s="575">
        <f>AG15+'13'!AG15</f>
        <v>331.85930605540005</v>
      </c>
      <c r="AH22" s="575">
        <f>AH15+'13'!AH15</f>
        <v>326.94822303983</v>
      </c>
      <c r="AI22" s="575">
        <f>AI15+'13'!AI15</f>
        <v>315.95972462643903</v>
      </c>
      <c r="AJ22" s="730">
        <f>AJ15+'13'!AM15</f>
        <v>271.80984995435227</v>
      </c>
    </row>
    <row r="23" spans="1:45">
      <c r="A23" s="458"/>
      <c r="B23" s="463"/>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576"/>
    </row>
    <row r="24" spans="1:45">
      <c r="A24" s="725" t="s">
        <v>553</v>
      </c>
      <c r="B24" s="464"/>
      <c r="C24" s="464"/>
      <c r="D24" s="464"/>
      <c r="E24" s="464"/>
      <c r="F24" s="464"/>
      <c r="G24" s="464"/>
      <c r="H24" s="464"/>
      <c r="I24" s="464"/>
      <c r="J24" s="464"/>
      <c r="K24" s="464"/>
      <c r="L24" s="464"/>
      <c r="M24" s="464"/>
      <c r="N24" s="464"/>
      <c r="O24" s="464"/>
      <c r="P24" s="464"/>
      <c r="Q24" s="464"/>
      <c r="R24" s="458"/>
      <c r="S24" s="458"/>
      <c r="T24" s="458"/>
      <c r="U24" s="458"/>
      <c r="V24" s="458"/>
      <c r="W24" s="458"/>
      <c r="X24" s="458"/>
      <c r="Y24" s="458"/>
      <c r="Z24" s="458"/>
      <c r="AA24" s="458"/>
      <c r="AB24" s="458"/>
      <c r="AC24" s="458"/>
      <c r="AD24" s="458"/>
      <c r="AE24" s="458"/>
      <c r="AF24" s="458"/>
      <c r="AG24" s="458"/>
      <c r="AH24" s="458"/>
      <c r="AI24" s="458"/>
      <c r="AJ24" s="576"/>
    </row>
    <row r="25" spans="1:45">
      <c r="A25" s="574" t="str">
        <f>A6</f>
        <v>Idroelettrica (a)</v>
      </c>
      <c r="B25" s="577"/>
      <c r="C25" s="577"/>
      <c r="D25" s="577"/>
      <c r="E25" s="577"/>
      <c r="F25" s="577"/>
      <c r="G25" s="577"/>
      <c r="H25" s="577"/>
      <c r="I25" s="577"/>
      <c r="J25" s="577"/>
      <c r="K25" s="577"/>
      <c r="L25" s="577"/>
      <c r="M25" s="577"/>
      <c r="N25" s="577"/>
      <c r="O25" s="577"/>
      <c r="P25" s="577"/>
      <c r="Q25" s="577">
        <f t="shared" ref="Q25:AH25" si="1">Q6*1.1</f>
        <v>47.219369999999998</v>
      </c>
      <c r="R25" s="577">
        <f t="shared" si="1"/>
        <v>47.76794000000001</v>
      </c>
      <c r="S25" s="577">
        <f t="shared" si="1"/>
        <v>42.329319999999996</v>
      </c>
      <c r="T25" s="577">
        <f t="shared" si="1"/>
        <v>51.9497</v>
      </c>
      <c r="U25" s="577">
        <f t="shared" si="1"/>
        <v>58.786750000000005</v>
      </c>
      <c r="V25" s="577">
        <f t="shared" si="1"/>
        <v>59.847458000000003</v>
      </c>
      <c r="W25" s="577">
        <f t="shared" si="1"/>
        <v>52.532326000000005</v>
      </c>
      <c r="X25" s="577">
        <f t="shared" si="1"/>
        <v>48.239289999999997</v>
      </c>
      <c r="Y25" s="577">
        <f t="shared" si="1"/>
        <v>60.138540000000006</v>
      </c>
      <c r="Z25" s="577">
        <f t="shared" si="1"/>
        <v>66.282040000000009</v>
      </c>
      <c r="AA25" s="577">
        <f t="shared" si="1"/>
        <v>51.666340000000005</v>
      </c>
      <c r="AB25" s="577">
        <f t="shared" si="1"/>
        <v>48.682700000000004</v>
      </c>
      <c r="AC25" s="577">
        <f t="shared" si="1"/>
        <v>41.827169999999995</v>
      </c>
      <c r="AD25" s="577">
        <f t="shared" si="1"/>
        <v>55.553124000000004</v>
      </c>
      <c r="AE25" s="577">
        <f t="shared" si="1"/>
        <v>52.968850000000003</v>
      </c>
      <c r="AF25" s="577">
        <f t="shared" si="1"/>
        <v>54.44478086049206</v>
      </c>
      <c r="AG25" s="577">
        <f t="shared" si="1"/>
        <v>52.226130000000012</v>
      </c>
      <c r="AH25" s="577">
        <f t="shared" si="1"/>
        <v>33.319880000000005</v>
      </c>
      <c r="AI25" s="577">
        <f t="shared" ref="AI25" si="2">AI6*1.1</f>
        <v>46.275130000000004</v>
      </c>
      <c r="AJ25" s="731">
        <f t="shared" ref="AJ25" si="3">AJ6*1.1</f>
        <v>59.89274373460043</v>
      </c>
    </row>
    <row r="26" spans="1:45">
      <c r="A26" s="574" t="str">
        <f>A8</f>
        <v>Termoelettrica (b)</v>
      </c>
      <c r="B26" s="577"/>
      <c r="C26" s="577"/>
      <c r="D26" s="577"/>
      <c r="E26" s="577"/>
      <c r="F26" s="577"/>
      <c r="G26" s="577"/>
      <c r="H26" s="577"/>
      <c r="I26" s="577"/>
      <c r="J26" s="577"/>
      <c r="K26" s="577"/>
      <c r="L26" s="577"/>
      <c r="M26" s="577"/>
      <c r="N26" s="577"/>
      <c r="O26" s="577"/>
      <c r="P26" s="577"/>
      <c r="Q26" s="577">
        <f>Q8/'23'!B18</f>
        <v>621.76450718137562</v>
      </c>
      <c r="R26" s="577">
        <f>R8/'23'!C18</f>
        <v>638.69245029327044</v>
      </c>
      <c r="S26" s="577">
        <f>S8/'23'!D18</f>
        <v>640.44493618452736</v>
      </c>
      <c r="T26" s="577">
        <f>T8/'23'!E18</f>
        <v>622.22599355557884</v>
      </c>
      <c r="U26" s="577">
        <f>U8/'23'!F18</f>
        <v>543.76622774349312</v>
      </c>
      <c r="V26" s="577">
        <f>V8/'23'!G18</f>
        <v>555.48263357513952</v>
      </c>
      <c r="W26" s="577">
        <f>W8/'23'!H18</f>
        <v>554.41372681215148</v>
      </c>
      <c r="X26" s="577">
        <f>X8/'23'!I18</f>
        <v>531.09328586171966</v>
      </c>
      <c r="Y26" s="577">
        <f>Y8/'23'!J18</f>
        <v>477.97892016919167</v>
      </c>
      <c r="Z26" s="577">
        <f>Z8/'23'!K18</f>
        <v>445.43442422583092</v>
      </c>
      <c r="AA26" s="577">
        <f>AA8/'23'!L18</f>
        <v>469.19043259541661</v>
      </c>
      <c r="AB26" s="577">
        <f>AB8/'23'!M18</f>
        <v>475.50675821333323</v>
      </c>
      <c r="AC26" s="577">
        <f>AC8/'23'!N18</f>
        <v>488.96802350805558</v>
      </c>
      <c r="AD26" s="577">
        <f>AD8/'23'!O18</f>
        <v>454.82970325277779</v>
      </c>
      <c r="AE26" s="577">
        <f>AE8/'23'!P18</f>
        <v>454.69212292866672</v>
      </c>
      <c r="AF26" s="577">
        <f>AF8/'23'!Q18</f>
        <v>424.01698110000007</v>
      </c>
      <c r="AG26" s="577">
        <f>AG8/'23'!R18</f>
        <v>437.81071316666674</v>
      </c>
      <c r="AH26" s="577">
        <f>AH8/'23'!S18</f>
        <v>457.24111748888879</v>
      </c>
      <c r="AI26" s="577">
        <f>AI8/'23'!T18</f>
        <v>374.9483240583333</v>
      </c>
      <c r="AJ26" s="731">
        <f>AJ8/'23'!U18</f>
        <v>360.77610858705771</v>
      </c>
    </row>
    <row r="27" spans="1:45">
      <c r="A27" s="574" t="str">
        <f>A10</f>
        <v>Geotermica</v>
      </c>
      <c r="B27" s="577"/>
      <c r="C27" s="577"/>
      <c r="D27" s="577"/>
      <c r="E27" s="577"/>
      <c r="F27" s="577"/>
      <c r="G27" s="577"/>
      <c r="H27" s="577"/>
      <c r="I27" s="577"/>
      <c r="J27" s="577"/>
      <c r="K27" s="577"/>
      <c r="L27" s="577"/>
      <c r="M27" s="577"/>
      <c r="N27" s="577"/>
      <c r="O27" s="577"/>
      <c r="P27" s="577"/>
      <c r="Q27" s="577">
        <f t="shared" ref="Q27:AH27" si="4">Q10*1.1</f>
        <v>5.8569500000000003</v>
      </c>
      <c r="R27" s="577">
        <f t="shared" si="4"/>
        <v>6.0801399999999992</v>
      </c>
      <c r="S27" s="577">
        <f t="shared" si="4"/>
        <v>6.1260100000000008</v>
      </c>
      <c r="T27" s="577">
        <f t="shared" si="4"/>
        <v>6.07233</v>
      </c>
      <c r="U27" s="577">
        <f t="shared" si="4"/>
        <v>5.8759800000000002</v>
      </c>
      <c r="V27" s="577">
        <f t="shared" si="4"/>
        <v>5.9134900000000004</v>
      </c>
      <c r="W27" s="577">
        <f t="shared" si="4"/>
        <v>6.2197300000000002</v>
      </c>
      <c r="X27" s="577">
        <f t="shared" si="4"/>
        <v>6.1508700000000003</v>
      </c>
      <c r="Y27" s="577">
        <f t="shared" si="4"/>
        <v>6.2251200000000004</v>
      </c>
      <c r="Z27" s="577">
        <f t="shared" si="4"/>
        <v>6.5079300000000009</v>
      </c>
      <c r="AA27" s="577">
        <f t="shared" si="4"/>
        <v>6.8035000000000005</v>
      </c>
      <c r="AB27" s="577">
        <f t="shared" si="4"/>
        <v>6.9174600000000011</v>
      </c>
      <c r="AC27" s="577">
        <f t="shared" si="4"/>
        <v>6.8213200000000009</v>
      </c>
      <c r="AD27" s="577">
        <f t="shared" si="4"/>
        <v>6.7159399999999998</v>
      </c>
      <c r="AE27" s="577">
        <f t="shared" si="4"/>
        <v>6.6823899999999998</v>
      </c>
      <c r="AF27" s="577">
        <f t="shared" si="4"/>
        <v>6.6287232000000014</v>
      </c>
      <c r="AG27" s="577">
        <f t="shared" si="4"/>
        <v>6.5051800000000011</v>
      </c>
      <c r="AH27" s="577">
        <f t="shared" si="4"/>
        <v>6.4205900000000007</v>
      </c>
      <c r="AI27" s="577">
        <f t="shared" ref="AI27" si="5">AI10*1.1</f>
        <v>6.2614200000000002</v>
      </c>
      <c r="AJ27" s="731">
        <f t="shared" ref="AJ27" si="6">AJ10*1.1</f>
        <v>6.2060613205417621</v>
      </c>
    </row>
    <row r="28" spans="1:45">
      <c r="A28" s="574" t="str">
        <f>A11</f>
        <v>Eolica e fotovoltaica</v>
      </c>
      <c r="B28" s="577"/>
      <c r="C28" s="577"/>
      <c r="D28" s="577"/>
      <c r="E28" s="577"/>
      <c r="F28" s="577"/>
      <c r="G28" s="577"/>
      <c r="H28" s="577"/>
      <c r="I28" s="577"/>
      <c r="J28" s="577"/>
      <c r="K28" s="577"/>
      <c r="L28" s="577"/>
      <c r="M28" s="577"/>
      <c r="N28" s="577"/>
      <c r="O28" s="577"/>
      <c r="P28" s="577"/>
      <c r="Q28" s="577">
        <f t="shared" ref="Q28:AH28" si="7">Q11*1.1</f>
        <v>2.6118400000000004</v>
      </c>
      <c r="R28" s="577">
        <f t="shared" si="7"/>
        <v>3.3062700000000005</v>
      </c>
      <c r="S28" s="577">
        <f t="shared" si="7"/>
        <v>4.4807400000000008</v>
      </c>
      <c r="T28" s="577">
        <f t="shared" si="7"/>
        <v>5.5597300000000009</v>
      </c>
      <c r="U28" s="577">
        <f t="shared" si="7"/>
        <v>7.9413400000000003</v>
      </c>
      <c r="V28" s="577">
        <f t="shared" si="7"/>
        <v>12.134760000000002</v>
      </c>
      <c r="W28" s="577">
        <f t="shared" si="7"/>
        <v>22.717309999999998</v>
      </c>
      <c r="X28" s="577">
        <f t="shared" si="7"/>
        <v>35.495680000000007</v>
      </c>
      <c r="Y28" s="577">
        <f t="shared" si="7"/>
        <v>40.134160000000001</v>
      </c>
      <c r="Z28" s="577">
        <f t="shared" si="7"/>
        <v>41.233170000000001</v>
      </c>
      <c r="AA28" s="577">
        <f t="shared" si="7"/>
        <v>41.564709999999998</v>
      </c>
      <c r="AB28" s="577">
        <f t="shared" si="7"/>
        <v>43.772300000000001</v>
      </c>
      <c r="AC28" s="577">
        <f t="shared" si="7"/>
        <v>46.33156000000001</v>
      </c>
      <c r="AD28" s="577">
        <f t="shared" si="7"/>
        <v>44.407220000000002</v>
      </c>
      <c r="AE28" s="577">
        <f t="shared" si="7"/>
        <v>48.279990000000005</v>
      </c>
      <c r="AF28" s="577">
        <f t="shared" si="7"/>
        <v>48.073367099999999</v>
      </c>
      <c r="AG28" s="577">
        <f t="shared" si="7"/>
        <v>50.562930000000009</v>
      </c>
      <c r="AH28" s="577">
        <f t="shared" si="7"/>
        <v>53.477270000000004</v>
      </c>
      <c r="AI28" s="577">
        <f t="shared" ref="AI28" si="8">AI11*1.1</f>
        <v>59.786760000000001</v>
      </c>
      <c r="AJ28" s="731">
        <f t="shared" ref="AJ28" si="9">AJ11*1.1</f>
        <v>64.879317615664306</v>
      </c>
    </row>
    <row r="29" spans="1:45">
      <c r="A29" s="577" t="str">
        <f>'13'!A15</f>
        <v>Saldo import/export</v>
      </c>
      <c r="B29" s="577"/>
      <c r="C29" s="577"/>
      <c r="D29" s="577"/>
      <c r="E29" s="577"/>
      <c r="F29" s="577"/>
      <c r="G29" s="577"/>
      <c r="H29" s="577"/>
      <c r="I29" s="577"/>
      <c r="J29" s="577"/>
      <c r="K29" s="577"/>
      <c r="L29" s="577"/>
      <c r="M29" s="577"/>
      <c r="N29" s="577"/>
      <c r="O29" s="577"/>
      <c r="P29" s="577"/>
      <c r="Q29" s="577">
        <f>'13'!Q15*1.1</f>
        <v>54.070500000000003</v>
      </c>
      <c r="R29" s="577">
        <f>'13'!R15*1.1</f>
        <v>49.483500000000006</v>
      </c>
      <c r="S29" s="577">
        <f>'13'!S15*1.1</f>
        <v>50.911300000000004</v>
      </c>
      <c r="T29" s="577">
        <f>'13'!T15*1.1</f>
        <v>44.038499999999999</v>
      </c>
      <c r="U29" s="577">
        <f>'13'!U15*1.1</f>
        <v>49.454900000000009</v>
      </c>
      <c r="V29" s="577">
        <f>'13'!V15*1.1</f>
        <v>48.576000000000001</v>
      </c>
      <c r="W29" s="577">
        <f>'13'!W15*1.1</f>
        <v>50.305200000000006</v>
      </c>
      <c r="X29" s="577">
        <f>'13'!X15*1.1</f>
        <v>47.413300000000007</v>
      </c>
      <c r="Y29" s="577">
        <f>'13'!Y15*1.1</f>
        <v>46.351800000000004</v>
      </c>
      <c r="Z29" s="577">
        <f>'13'!Z15*1.1</f>
        <v>48.087600000000002</v>
      </c>
      <c r="AA29" s="577">
        <f>'13'!AA15*1.1</f>
        <v>51.015800000000006</v>
      </c>
      <c r="AB29" s="577">
        <f>'13'!AB15*1.1</f>
        <v>40.729700000000001</v>
      </c>
      <c r="AC29" s="577">
        <f>'13'!AC15*1.1</f>
        <v>41.536715000000001</v>
      </c>
      <c r="AD29" s="577">
        <f>'13'!AD15*1.1</f>
        <v>48.2886679</v>
      </c>
      <c r="AE29" s="577">
        <f>'13'!AE15*1.1</f>
        <v>41.955320000000007</v>
      </c>
      <c r="AF29" s="577">
        <f>'13'!AF15*1.1</f>
        <v>35.420440000000006</v>
      </c>
      <c r="AG29" s="577">
        <f>'13'!AG15*1.1</f>
        <v>47.068780000000004</v>
      </c>
      <c r="AH29" s="577">
        <f>'13'!AH15*1.1</f>
        <v>47.285480000000007</v>
      </c>
      <c r="AI29" s="577">
        <f>'13'!AI15*1.1</f>
        <v>56.376650000000005</v>
      </c>
      <c r="AJ29" s="731">
        <f>'13'!AM15*1.1</f>
        <v>0</v>
      </c>
    </row>
    <row r="30" spans="1:45">
      <c r="A30" s="574" t="s">
        <v>392</v>
      </c>
      <c r="B30" s="577"/>
      <c r="C30" s="577"/>
      <c r="D30" s="577"/>
      <c r="E30" s="577"/>
      <c r="F30" s="577"/>
      <c r="G30" s="577"/>
      <c r="H30" s="577"/>
      <c r="I30" s="577"/>
      <c r="J30" s="577"/>
      <c r="K30" s="577"/>
      <c r="L30" s="577"/>
      <c r="M30" s="577"/>
      <c r="N30" s="577"/>
      <c r="O30" s="577"/>
      <c r="P30" s="577"/>
      <c r="Q30" s="577">
        <f>SUM(Q25:Q29)</f>
        <v>731.5231671813757</v>
      </c>
      <c r="R30" s="577">
        <f t="shared" ref="R30:AD30" si="10">SUM(R25:R29)</f>
        <v>745.33030029327051</v>
      </c>
      <c r="S30" s="577">
        <f t="shared" si="10"/>
        <v>744.29230618452721</v>
      </c>
      <c r="T30" s="577">
        <f t="shared" si="10"/>
        <v>729.84625355557876</v>
      </c>
      <c r="U30" s="577">
        <f t="shared" si="10"/>
        <v>665.82519774349316</v>
      </c>
      <c r="V30" s="577">
        <f t="shared" si="10"/>
        <v>681.95434157513955</v>
      </c>
      <c r="W30" s="577">
        <f t="shared" si="10"/>
        <v>686.18829281215153</v>
      </c>
      <c r="X30" s="577">
        <f t="shared" si="10"/>
        <v>668.39242586171974</v>
      </c>
      <c r="Y30" s="577">
        <f t="shared" si="10"/>
        <v>630.82854016919157</v>
      </c>
      <c r="Z30" s="577">
        <f t="shared" si="10"/>
        <v>607.54516422583083</v>
      </c>
      <c r="AA30" s="577">
        <f t="shared" si="10"/>
        <v>620.24078259541659</v>
      </c>
      <c r="AB30" s="577">
        <f t="shared" si="10"/>
        <v>615.60891821333314</v>
      </c>
      <c r="AC30" s="577">
        <f t="shared" si="10"/>
        <v>625.48478850805554</v>
      </c>
      <c r="AD30" s="577">
        <f t="shared" si="10"/>
        <v>609.79465515277786</v>
      </c>
      <c r="AE30" s="577">
        <f t="shared" ref="AE30:AJ30" si="11">SUM(AE25:AE29)</f>
        <v>604.57867292866683</v>
      </c>
      <c r="AF30" s="577">
        <f t="shared" si="11"/>
        <v>568.58429226049213</v>
      </c>
      <c r="AG30" s="577">
        <f t="shared" si="11"/>
        <v>594.17373316666681</v>
      </c>
      <c r="AH30" s="577">
        <f t="shared" si="11"/>
        <v>597.74433748888885</v>
      </c>
      <c r="AI30" s="577">
        <f t="shared" ref="AI30" si="12">SUM(AI25:AI29)</f>
        <v>543.64828405833327</v>
      </c>
      <c r="AJ30" s="731">
        <f t="shared" si="11"/>
        <v>491.75423125786426</v>
      </c>
    </row>
    <row r="31" spans="1:45">
      <c r="A31" s="725" t="s">
        <v>554</v>
      </c>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731"/>
    </row>
    <row r="32" spans="1:45">
      <c r="A32" s="574" t="s">
        <v>395</v>
      </c>
      <c r="B32" s="578"/>
      <c r="C32" s="578"/>
      <c r="D32" s="578"/>
      <c r="E32" s="578"/>
      <c r="F32" s="578"/>
      <c r="G32" s="578"/>
      <c r="H32" s="578"/>
      <c r="I32" s="578"/>
      <c r="J32" s="578"/>
      <c r="K32" s="578"/>
      <c r="L32" s="578"/>
      <c r="M32" s="578"/>
      <c r="N32" s="578"/>
      <c r="O32" s="578"/>
      <c r="P32" s="578"/>
      <c r="Q32" s="578">
        <f t="shared" ref="Q32:AH32" si="13">Q22/Q30</f>
        <v>0.48235369135276168</v>
      </c>
      <c r="R32" s="578">
        <f t="shared" si="13"/>
        <v>0.48181041326067015</v>
      </c>
      <c r="S32" s="578">
        <f t="shared" si="13"/>
        <v>0.48391041665652446</v>
      </c>
      <c r="T32" s="578">
        <f t="shared" si="13"/>
        <v>0.4921099454169483</v>
      </c>
      <c r="U32" s="578">
        <f t="shared" si="13"/>
        <v>0.50704239062165957</v>
      </c>
      <c r="V32" s="578">
        <f t="shared" si="13"/>
        <v>0.50769099761182812</v>
      </c>
      <c r="W32" s="578">
        <f t="shared" si="13"/>
        <v>0.507604783772306</v>
      </c>
      <c r="X32" s="578">
        <f t="shared" si="13"/>
        <v>0.51224278844660787</v>
      </c>
      <c r="Y32" s="578">
        <f t="shared" si="13"/>
        <v>0.52619987661143452</v>
      </c>
      <c r="Z32" s="578">
        <f t="shared" si="13"/>
        <v>0.53254345364147337</v>
      </c>
      <c r="AA32" s="578">
        <f t="shared" si="13"/>
        <v>0.53103876630255298</v>
      </c>
      <c r="AB32" s="578">
        <f t="shared" si="13"/>
        <v>0.53084870984073751</v>
      </c>
      <c r="AC32" s="578">
        <f t="shared" si="13"/>
        <v>0.53333134442437957</v>
      </c>
      <c r="AD32" s="578">
        <f t="shared" si="13"/>
        <v>0.54708129352730728</v>
      </c>
      <c r="AE32" s="578">
        <f t="shared" si="13"/>
        <v>0.54913347437366755</v>
      </c>
      <c r="AF32" s="578">
        <f t="shared" si="13"/>
        <v>0.55001768120728312</v>
      </c>
      <c r="AG32" s="578">
        <f t="shared" si="13"/>
        <v>0.55852234377098076</v>
      </c>
      <c r="AH32" s="578">
        <f t="shared" si="13"/>
        <v>0.54697000462326828</v>
      </c>
      <c r="AI32" s="578">
        <f t="shared" ref="AI32" si="14">AI22/AI30</f>
        <v>0.58118407413668327</v>
      </c>
      <c r="AJ32" s="732">
        <f t="shared" ref="AJ32" si="15">AJ22/AJ30</f>
        <v>0.55273515239327276</v>
      </c>
    </row>
    <row r="33" spans="1:36">
      <c r="A33" s="574" t="s">
        <v>396</v>
      </c>
      <c r="B33" s="578"/>
      <c r="C33" s="578"/>
      <c r="D33" s="578"/>
      <c r="E33" s="578"/>
      <c r="F33" s="578"/>
      <c r="G33" s="578"/>
      <c r="H33" s="578"/>
      <c r="I33" s="578"/>
      <c r="J33" s="578"/>
      <c r="K33" s="578"/>
      <c r="L33" s="578"/>
      <c r="M33" s="578"/>
      <c r="N33" s="578"/>
      <c r="O33" s="578"/>
      <c r="P33" s="578"/>
      <c r="Q33" s="578">
        <f t="shared" ref="Q33:AH33" si="16">Q15/SUM(Q25:Q28)</f>
        <v>0.44829390260366397</v>
      </c>
      <c r="R33" s="578">
        <f t="shared" si="16"/>
        <v>0.45142537102651087</v>
      </c>
      <c r="S33" s="578">
        <f t="shared" si="16"/>
        <v>0.45269166187177917</v>
      </c>
      <c r="T33" s="578">
        <f t="shared" si="16"/>
        <v>0.46533390493978627</v>
      </c>
      <c r="U33" s="578">
        <f t="shared" si="16"/>
        <v>0.47478374780769422</v>
      </c>
      <c r="V33" s="578">
        <f t="shared" si="16"/>
        <v>0.47690623466663884</v>
      </c>
      <c r="W33" s="578">
        <f t="shared" si="16"/>
        <v>0.47584290795004097</v>
      </c>
      <c r="X33" s="578">
        <f t="shared" si="16"/>
        <v>0.48194244787971041</v>
      </c>
      <c r="Y33" s="578">
        <f t="shared" si="16"/>
        <v>0.49583478705432993</v>
      </c>
      <c r="Z33" s="578">
        <f t="shared" si="16"/>
        <v>0.50017770407166118</v>
      </c>
      <c r="AA33" s="578">
        <f t="shared" si="16"/>
        <v>0.49715649989512367</v>
      </c>
      <c r="AB33" s="578">
        <f t="shared" si="16"/>
        <v>0.50405057413724297</v>
      </c>
      <c r="AC33" s="578">
        <f t="shared" si="16"/>
        <v>0.50660325222893132</v>
      </c>
      <c r="AD33" s="578">
        <f t="shared" si="16"/>
        <v>0.51594901266226301</v>
      </c>
      <c r="AE33" s="578">
        <f t="shared" si="16"/>
        <v>0.52229113076789879</v>
      </c>
      <c r="AF33" s="578">
        <f t="shared" si="16"/>
        <v>0.52616285370925475</v>
      </c>
      <c r="AG33" s="578">
        <f t="shared" si="16"/>
        <v>0.52836207090111953</v>
      </c>
      <c r="AH33" s="578">
        <f t="shared" si="16"/>
        <v>0.51586311888089076</v>
      </c>
      <c r="AI33" s="578">
        <f t="shared" ref="AI33" si="17">AI15/SUM(AI25:AI28)</f>
        <v>0.54324570962969232</v>
      </c>
      <c r="AJ33" s="732">
        <f t="shared" ref="AJ33" si="18">AJ15/SUM(AJ25:AJ28)</f>
        <v>0.55273515239327276</v>
      </c>
    </row>
    <row r="34" spans="1:36">
      <c r="A34" s="574" t="s">
        <v>393</v>
      </c>
      <c r="B34" s="578"/>
      <c r="C34" s="578"/>
      <c r="D34" s="578"/>
      <c r="E34" s="578"/>
      <c r="F34" s="578"/>
      <c r="G34" s="578"/>
      <c r="H34" s="578"/>
      <c r="I34" s="578"/>
      <c r="J34" s="578"/>
      <c r="K34" s="578"/>
      <c r="L34" s="578"/>
      <c r="M34" s="578"/>
      <c r="N34" s="578"/>
      <c r="O34" s="578"/>
      <c r="P34" s="578"/>
      <c r="Q34" s="578">
        <f>'23'!B16</f>
        <v>0.4199199116734747</v>
      </c>
      <c r="R34" s="578">
        <f>'23'!C16</f>
        <v>0.4241959683566775</v>
      </c>
      <c r="S34" s="578">
        <f>'23'!D16</f>
        <v>0.43100011421503026</v>
      </c>
      <c r="T34" s="578">
        <f>'23'!E16</f>
        <v>0.43624821301825734</v>
      </c>
      <c r="U34" s="578">
        <f>'23'!F16</f>
        <v>0.42714616386437421</v>
      </c>
      <c r="V34" s="578">
        <f>'23'!G16</f>
        <v>0.4305831284485328</v>
      </c>
      <c r="W34" s="578">
        <f>'23'!H16</f>
        <v>0.43143262812794042</v>
      </c>
      <c r="X34" s="578">
        <f>'23'!I16</f>
        <v>0.42398679874703415</v>
      </c>
      <c r="Y34" s="578">
        <f>'23'!J16</f>
        <v>0.41239579273812249</v>
      </c>
      <c r="Z34" s="578">
        <f>'23'!K16</f>
        <v>0.40349377187188434</v>
      </c>
      <c r="AA34" s="578">
        <f>'23'!L16</f>
        <v>0.41743171657777883</v>
      </c>
      <c r="AB34" s="578">
        <f>'23'!M16</f>
        <v>0.42972554861628376</v>
      </c>
      <c r="AC34" s="578">
        <f>'23'!N16</f>
        <v>0.44384798946107612</v>
      </c>
      <c r="AD34" s="578">
        <f>'23'!O16</f>
        <v>0.44023234484867019</v>
      </c>
      <c r="AE34" s="578">
        <f>'23'!P16</f>
        <v>0.45488426291248996</v>
      </c>
      <c r="AF34" s="578">
        <f>'23'!Q16</f>
        <v>0.45676586081983572</v>
      </c>
      <c r="AG34" s="578">
        <f>'23'!R16</f>
        <v>0.45832051361522497</v>
      </c>
      <c r="AH34" s="578">
        <f>'23'!S16</f>
        <v>0.45144513695740618</v>
      </c>
      <c r="AI34" s="578">
        <f>'23'!T16</f>
        <v>0.4537322732105411</v>
      </c>
      <c r="AJ34" s="732">
        <f>'23'!U16</f>
        <v>0.45373227321054105</v>
      </c>
    </row>
    <row r="35" spans="1:36">
      <c r="A35" s="458"/>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65"/>
      <c r="AA35" s="465"/>
      <c r="AB35" s="465"/>
      <c r="AC35" s="465"/>
      <c r="AD35" s="465"/>
      <c r="AE35" s="459"/>
      <c r="AF35" s="459"/>
      <c r="AG35" s="459"/>
      <c r="AH35" s="459"/>
      <c r="AI35" s="459"/>
      <c r="AJ35" s="458"/>
    </row>
    <row r="36" spans="1:36">
      <c r="A36" s="458"/>
      <c r="B36" s="458"/>
      <c r="C36" s="458"/>
      <c r="D36" s="458"/>
      <c r="E36" s="458"/>
      <c r="F36" s="458"/>
      <c r="G36" s="458"/>
      <c r="H36" s="458"/>
      <c r="I36" s="458"/>
      <c r="J36" s="458"/>
      <c r="K36" s="458"/>
      <c r="L36" s="458"/>
      <c r="M36" s="458"/>
      <c r="N36" s="458"/>
      <c r="O36" s="458"/>
      <c r="P36" s="458"/>
      <c r="Q36" s="458"/>
      <c r="R36" s="458"/>
      <c r="S36" s="458"/>
      <c r="T36" s="458"/>
      <c r="U36" s="458"/>
      <c r="V36" s="458"/>
      <c r="W36" s="609"/>
      <c r="X36" s="609"/>
      <c r="Y36" s="609"/>
      <c r="Z36" s="609"/>
      <c r="AA36" s="609"/>
      <c r="AB36" s="609"/>
      <c r="AC36" s="609"/>
      <c r="AD36" s="609"/>
      <c r="AE36" s="609"/>
      <c r="AF36" s="609"/>
      <c r="AG36" s="609"/>
      <c r="AH36" s="609"/>
      <c r="AI36" s="609"/>
      <c r="AJ36" s="458"/>
    </row>
    <row r="37" spans="1:36">
      <c r="A37" s="458"/>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65"/>
      <c r="AA37" s="465"/>
      <c r="AB37" s="465"/>
      <c r="AC37" s="465"/>
      <c r="AD37" s="465"/>
      <c r="AE37" s="459"/>
      <c r="AF37" s="459"/>
      <c r="AG37" s="459"/>
      <c r="AH37" s="459"/>
      <c r="AI37" s="459"/>
      <c r="AJ37" s="458"/>
    </row>
    <row r="38" spans="1:36">
      <c r="A38" s="458"/>
      <c r="B38" s="458"/>
      <c r="C38" s="458"/>
      <c r="D38" s="458"/>
      <c r="E38" s="458"/>
      <c r="F38" s="458"/>
      <c r="G38" s="458"/>
      <c r="H38" s="458"/>
      <c r="I38" s="458"/>
      <c r="J38" s="458"/>
      <c r="K38" s="458"/>
      <c r="L38" s="458"/>
      <c r="M38" s="458"/>
      <c r="N38" s="458"/>
      <c r="O38" s="458"/>
      <c r="P38" s="458"/>
      <c r="Q38" s="458"/>
      <c r="R38" s="458"/>
      <c r="S38" s="458"/>
      <c r="T38" s="458"/>
      <c r="U38" s="458"/>
      <c r="V38" s="458"/>
      <c r="W38" s="458"/>
      <c r="X38" s="458"/>
      <c r="Y38" s="458"/>
      <c r="Z38" s="465"/>
      <c r="AA38" s="465"/>
      <c r="AB38" s="465"/>
      <c r="AC38" s="465"/>
      <c r="AD38" s="465"/>
      <c r="AE38" s="459"/>
      <c r="AF38" s="459"/>
      <c r="AG38" s="459"/>
      <c r="AH38" s="459"/>
      <c r="AI38" s="459"/>
      <c r="AJ38" s="458"/>
    </row>
    <row r="39" spans="1:36">
      <c r="AE39" s="459"/>
      <c r="AF39" s="459"/>
      <c r="AG39" s="459"/>
      <c r="AH39" s="459"/>
      <c r="AI39" s="459"/>
    </row>
  </sheetData>
  <mergeCells count="1">
    <mergeCell ref="A4:A5"/>
  </mergeCells>
  <hyperlinks>
    <hyperlink ref="A1" location="Indice!A1" display="Torna indietro" xr:uid="{00000000-0004-0000-08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2"/>
  <dimension ref="A1:L224"/>
  <sheetViews>
    <sheetView showGridLines="0" zoomScale="85" zoomScaleNormal="85" workbookViewId="0">
      <selection activeCell="O30" sqref="O30"/>
    </sheetView>
  </sheetViews>
  <sheetFormatPr defaultRowHeight="14.4"/>
  <cols>
    <col min="1" max="1" width="37.44140625" style="764" bestFit="1" customWidth="1"/>
    <col min="2" max="2" width="16.44140625" bestFit="1" customWidth="1"/>
    <col min="3" max="3" width="16.5546875" customWidth="1"/>
    <col min="4" max="4" width="10.44140625" bestFit="1" customWidth="1"/>
    <col min="5" max="5" width="18.21875" bestFit="1" customWidth="1"/>
    <col min="6" max="6" width="10.77734375" bestFit="1" customWidth="1"/>
    <col min="7" max="7" width="17.21875" bestFit="1" customWidth="1"/>
    <col min="8" max="8" width="9.21875" customWidth="1"/>
    <col min="9" max="9" width="11.21875" bestFit="1" customWidth="1"/>
    <col min="11" max="11" width="9.21875" customWidth="1"/>
  </cols>
  <sheetData>
    <row r="1" spans="1:9" ht="15.6">
      <c r="A1" s="762" t="s">
        <v>57</v>
      </c>
      <c r="B1" s="608"/>
      <c r="C1" s="113"/>
      <c r="H1" s="12"/>
    </row>
    <row r="2" spans="1:9" ht="15.6">
      <c r="H2" s="12"/>
    </row>
    <row r="3" spans="1:9" s="12" customFormat="1" ht="27" customHeight="1" thickBot="1">
      <c r="A3" s="871" t="s">
        <v>125</v>
      </c>
      <c r="B3" s="871"/>
      <c r="C3" s="871"/>
      <c r="D3" s="871"/>
      <c r="E3" s="871"/>
      <c r="F3" s="871"/>
      <c r="I3"/>
    </row>
    <row r="4" spans="1:9" s="12" customFormat="1" ht="18.600000000000001">
      <c r="A4" s="872" t="s">
        <v>6</v>
      </c>
      <c r="B4" s="29" t="s">
        <v>43</v>
      </c>
      <c r="C4" s="867" t="s">
        <v>48</v>
      </c>
      <c r="D4" s="23" t="s">
        <v>43</v>
      </c>
      <c r="E4" s="22" t="s">
        <v>44</v>
      </c>
      <c r="F4" s="24" t="s">
        <v>45</v>
      </c>
      <c r="I4"/>
    </row>
    <row r="5" spans="1:9" s="12" customFormat="1" ht="16.2" thickBot="1">
      <c r="A5" s="873"/>
      <c r="B5" s="30" t="s">
        <v>31</v>
      </c>
      <c r="C5" s="868"/>
      <c r="D5" s="874"/>
      <c r="E5" s="874"/>
      <c r="F5" s="875"/>
      <c r="I5"/>
    </row>
    <row r="6" spans="1:9" s="12" customFormat="1" ht="16.5" customHeight="1">
      <c r="A6" s="758" t="s">
        <v>32</v>
      </c>
      <c r="B6" s="31">
        <v>56.1</v>
      </c>
      <c r="C6" s="35">
        <v>0.995</v>
      </c>
      <c r="D6" s="36">
        <v>55.819499999999998</v>
      </c>
      <c r="E6" s="35">
        <v>1.9280669314499999</v>
      </c>
      <c r="F6" s="31">
        <v>2.337050826</v>
      </c>
      <c r="I6"/>
    </row>
    <row r="7" spans="1:9" s="12" customFormat="1" ht="15.6">
      <c r="A7" s="758" t="s">
        <v>37</v>
      </c>
      <c r="B7" s="32">
        <v>56.1</v>
      </c>
      <c r="C7" s="115">
        <v>1</v>
      </c>
      <c r="D7" s="36">
        <v>56.1</v>
      </c>
      <c r="E7" s="35">
        <v>1.93198331189952</v>
      </c>
      <c r="F7" s="31">
        <v>2.3487947999999998</v>
      </c>
      <c r="I7"/>
    </row>
    <row r="8" spans="1:9" s="12" customFormat="1" ht="15.6">
      <c r="A8" s="758" t="s">
        <v>33</v>
      </c>
      <c r="B8" s="31">
        <v>54.3</v>
      </c>
      <c r="C8" s="35">
        <v>1</v>
      </c>
      <c r="D8" s="43">
        <v>54.3</v>
      </c>
      <c r="E8" s="35">
        <v>1.9633964665985997</v>
      </c>
      <c r="F8" s="31">
        <v>2.2734323999999999</v>
      </c>
      <c r="I8"/>
    </row>
    <row r="9" spans="1:9" s="12" customFormat="1" ht="16.2" thickBot="1">
      <c r="A9" s="757" t="s">
        <v>34</v>
      </c>
      <c r="B9" s="33">
        <v>58.3</v>
      </c>
      <c r="C9" s="34">
        <v>1</v>
      </c>
      <c r="D9" s="13">
        <v>58.3</v>
      </c>
      <c r="E9" s="34">
        <v>1.9452677775101996</v>
      </c>
      <c r="F9" s="33">
        <v>2.4409043999999995</v>
      </c>
      <c r="I9"/>
    </row>
    <row r="10" spans="1:9" s="12" customFormat="1" ht="15.6">
      <c r="A10" s="759" t="s">
        <v>35</v>
      </c>
      <c r="B10" s="129"/>
      <c r="C10" s="18"/>
      <c r="D10" s="91"/>
      <c r="E10" s="18"/>
      <c r="F10" s="15"/>
      <c r="I10"/>
    </row>
    <row r="11" spans="1:9" s="12" customFormat="1" ht="15.6">
      <c r="A11" s="758">
        <v>1990</v>
      </c>
      <c r="B11" s="32">
        <v>56.102763951394593</v>
      </c>
      <c r="C11" s="35">
        <v>0.995</v>
      </c>
      <c r="D11" s="36">
        <v>55.822250131637617</v>
      </c>
      <c r="E11" s="35">
        <v>1.9345016578934173</v>
      </c>
      <c r="F11" s="31">
        <v>2.3371659685114037</v>
      </c>
      <c r="I11"/>
    </row>
    <row r="12" spans="1:9" s="12" customFormat="1" ht="15.6">
      <c r="A12" s="758">
        <v>1995</v>
      </c>
      <c r="B12" s="32">
        <v>56.235789087359372</v>
      </c>
      <c r="C12" s="35">
        <v>0.995</v>
      </c>
      <c r="D12" s="36">
        <v>55.954610141922572</v>
      </c>
      <c r="E12" s="35">
        <v>1.9471049789066097</v>
      </c>
      <c r="F12" s="31">
        <v>2.3427076174220147</v>
      </c>
      <c r="I12"/>
    </row>
    <row r="13" spans="1:9" s="12" customFormat="1" ht="15.6">
      <c r="A13" s="758">
        <v>2000</v>
      </c>
      <c r="B13" s="32">
        <v>56.414732919230282</v>
      </c>
      <c r="C13" s="35">
        <v>0.99722222222222212</v>
      </c>
      <c r="D13" s="36">
        <v>56.258025327787969</v>
      </c>
      <c r="E13" s="35">
        <v>1.955117730003973</v>
      </c>
      <c r="F13" s="31">
        <v>2.3554110044238268</v>
      </c>
      <c r="I13"/>
    </row>
    <row r="14" spans="1:9" s="12" customFormat="1" ht="15.6">
      <c r="A14" s="758">
        <v>2005</v>
      </c>
      <c r="B14" s="32">
        <v>56.475498382060366</v>
      </c>
      <c r="C14" s="35">
        <v>1</v>
      </c>
      <c r="D14" s="36">
        <v>56.475498382060366</v>
      </c>
      <c r="E14" s="35">
        <v>1.9775990279528981</v>
      </c>
      <c r="F14" s="31">
        <v>2.3645161662601031</v>
      </c>
      <c r="I14"/>
    </row>
    <row r="15" spans="1:9" s="12" customFormat="1" ht="15.6">
      <c r="A15" s="758">
        <v>2010</v>
      </c>
      <c r="B15" s="39">
        <f t="shared" ref="B15:B21" si="0">D15</f>
        <v>56.443723086262537</v>
      </c>
      <c r="C15" s="35">
        <v>1</v>
      </c>
      <c r="D15" s="36">
        <v>56.443723086262537</v>
      </c>
      <c r="E15" s="35">
        <v>1.9869393259377197</v>
      </c>
      <c r="F15" s="31">
        <v>2.3631857981756399</v>
      </c>
      <c r="G15" s="66"/>
      <c r="I15"/>
    </row>
    <row r="16" spans="1:9" s="12" customFormat="1" ht="15.6">
      <c r="A16" s="758" t="s">
        <v>103</v>
      </c>
      <c r="B16" s="39">
        <f t="shared" si="0"/>
        <v>57.945336367280483</v>
      </c>
      <c r="C16" s="35">
        <v>1</v>
      </c>
      <c r="D16" s="36">
        <v>57.945336367280483</v>
      </c>
      <c r="E16" s="35">
        <v>1.9869393259377199</v>
      </c>
      <c r="F16" s="31">
        <v>2.4260553430252991</v>
      </c>
      <c r="G16" s="66"/>
      <c r="I16"/>
    </row>
    <row r="17" spans="1:9" s="12" customFormat="1" ht="15.6">
      <c r="A17" s="758">
        <v>2015</v>
      </c>
      <c r="B17" s="39">
        <f t="shared" si="0"/>
        <v>56.268559037233914</v>
      </c>
      <c r="C17" s="35">
        <v>1</v>
      </c>
      <c r="D17" s="36">
        <v>56.268559037233914</v>
      </c>
      <c r="E17" s="35">
        <v>1.9762296316807231</v>
      </c>
      <c r="F17" s="31">
        <v>2.3558520297709094</v>
      </c>
      <c r="G17" s="66"/>
      <c r="I17"/>
    </row>
    <row r="18" spans="1:9" s="12" customFormat="1" ht="15.6">
      <c r="A18" s="758" t="s">
        <v>160</v>
      </c>
      <c r="B18" s="39">
        <f t="shared" si="0"/>
        <v>57.633008341954621</v>
      </c>
      <c r="C18" s="35">
        <v>1</v>
      </c>
      <c r="D18" s="36">
        <v>57.633008341954621</v>
      </c>
      <c r="E18" s="35">
        <v>1.9762296316807229</v>
      </c>
      <c r="F18" s="31">
        <v>2.4129787932609559</v>
      </c>
      <c r="G18" s="66"/>
      <c r="I18"/>
    </row>
    <row r="19" spans="1:9" s="12" customFormat="1" ht="15.6">
      <c r="A19" s="758">
        <v>2020</v>
      </c>
      <c r="B19" s="39">
        <f t="shared" si="0"/>
        <v>56.261822962663786</v>
      </c>
      <c r="C19" s="35">
        <v>1</v>
      </c>
      <c r="D19" s="36">
        <v>56.261822962663786</v>
      </c>
      <c r="E19" s="35">
        <v>1.9857423274803332</v>
      </c>
      <c r="F19" s="31">
        <v>2.3555700038008074</v>
      </c>
      <c r="G19" s="66"/>
      <c r="I19"/>
    </row>
    <row r="20" spans="1:9" s="12" customFormat="1" ht="15.6">
      <c r="A20" s="758" t="s">
        <v>440</v>
      </c>
      <c r="B20" s="39">
        <f t="shared" si="0"/>
        <v>57.910428165837715</v>
      </c>
      <c r="C20" s="35">
        <v>1</v>
      </c>
      <c r="D20" s="36">
        <v>57.910428165837715</v>
      </c>
      <c r="E20" s="35">
        <v>1.985742327480333</v>
      </c>
      <c r="F20" s="31">
        <v>2.4245938064472932</v>
      </c>
      <c r="G20" s="66"/>
      <c r="I20"/>
    </row>
    <row r="21" spans="1:9" s="12" customFormat="1" ht="15.6">
      <c r="A21" s="758">
        <v>2021</v>
      </c>
      <c r="B21" s="39">
        <f t="shared" si="0"/>
        <v>56.608462313804445</v>
      </c>
      <c r="C21" s="35">
        <v>1</v>
      </c>
      <c r="D21" s="36">
        <v>56.608462313804445</v>
      </c>
      <c r="E21" s="35">
        <v>2.0060999639434929</v>
      </c>
      <c r="F21" s="31">
        <v>2.3700831001543645</v>
      </c>
      <c r="G21" s="66"/>
      <c r="I21"/>
    </row>
    <row r="22" spans="1:9" s="12" customFormat="1" ht="15.6">
      <c r="A22" s="758" t="s">
        <v>468</v>
      </c>
      <c r="B22" s="39">
        <f t="shared" ref="B22:B26" si="1">D22</f>
        <v>58.504120221302905</v>
      </c>
      <c r="C22" s="35">
        <v>1</v>
      </c>
      <c r="D22" s="36">
        <v>58.504120221302905</v>
      </c>
      <c r="E22" s="35">
        <v>2.0060999639434924</v>
      </c>
      <c r="F22" s="31">
        <v>2.44945050542551</v>
      </c>
      <c r="G22" s="66"/>
      <c r="I22"/>
    </row>
    <row r="23" spans="1:9" s="12" customFormat="1" ht="15.6">
      <c r="A23" s="758">
        <v>2022</v>
      </c>
      <c r="B23" s="39">
        <f t="shared" si="1"/>
        <v>56.685172175267795</v>
      </c>
      <c r="C23" s="35">
        <v>1</v>
      </c>
      <c r="D23" s="36">
        <v>56.685172175267795</v>
      </c>
      <c r="E23" s="35">
        <v>2.0202894613566076</v>
      </c>
      <c r="F23" s="31">
        <v>2.3732947886341118</v>
      </c>
      <c r="G23" s="66"/>
      <c r="I23"/>
    </row>
    <row r="24" spans="1:9" s="12" customFormat="1" ht="15.75" customHeight="1">
      <c r="A24" s="758" t="s">
        <v>555</v>
      </c>
      <c r="B24" s="39">
        <f t="shared" si="1"/>
        <v>58.917930139780168</v>
      </c>
      <c r="C24" s="35">
        <v>1</v>
      </c>
      <c r="D24" s="36">
        <v>58.917930139780168</v>
      </c>
      <c r="E24" s="35">
        <v>2.0202894613566067</v>
      </c>
      <c r="F24" s="31">
        <v>2.4667758990923159</v>
      </c>
      <c r="G24" s="66"/>
      <c r="I24"/>
    </row>
    <row r="25" spans="1:9" s="12" customFormat="1" ht="15.75" customHeight="1">
      <c r="A25" s="758">
        <v>2023</v>
      </c>
      <c r="B25" s="39">
        <f t="shared" si="1"/>
        <v>56.887314158439551</v>
      </c>
      <c r="C25" s="35">
        <v>1</v>
      </c>
      <c r="D25" s="36">
        <v>56.887314158439551</v>
      </c>
      <c r="E25" s="35">
        <v>2.0293464091136526</v>
      </c>
      <c r="F25" s="31">
        <v>2.3817580691855471</v>
      </c>
      <c r="G25" s="66"/>
      <c r="I25"/>
    </row>
    <row r="26" spans="1:9" s="12" customFormat="1" ht="15.75" customHeight="1" thickBot="1">
      <c r="A26" s="757" t="s">
        <v>614</v>
      </c>
      <c r="B26" s="40">
        <f t="shared" si="1"/>
        <v>59.182058931934002</v>
      </c>
      <c r="C26" s="34">
        <v>1</v>
      </c>
      <c r="D26" s="111">
        <v>59.182058931934002</v>
      </c>
      <c r="E26" s="34">
        <v>2.0293464091136522</v>
      </c>
      <c r="F26" s="33">
        <v>2.4778344433622128</v>
      </c>
      <c r="G26" s="66"/>
      <c r="I26"/>
    </row>
    <row r="27" spans="1:9" s="12" customFormat="1" ht="15.6">
      <c r="A27" s="760"/>
      <c r="B27" s="35"/>
      <c r="C27" s="35"/>
      <c r="D27" s="36"/>
      <c r="E27" s="35"/>
      <c r="F27" s="35"/>
      <c r="I27"/>
    </row>
    <row r="28" spans="1:9" s="12" customFormat="1" ht="16.2" thickBot="1">
      <c r="A28" s="760"/>
      <c r="B28" s="35"/>
      <c r="C28" s="35"/>
      <c r="D28" s="36"/>
      <c r="E28" s="35"/>
      <c r="F28" s="35"/>
      <c r="I28"/>
    </row>
    <row r="29" spans="1:9" s="12" customFormat="1" ht="18">
      <c r="A29" s="872" t="s">
        <v>105</v>
      </c>
      <c r="B29" s="17" t="s">
        <v>46</v>
      </c>
      <c r="C29" s="867" t="s">
        <v>48</v>
      </c>
      <c r="D29" s="18" t="s">
        <v>46</v>
      </c>
      <c r="E29" s="18" t="s">
        <v>47</v>
      </c>
      <c r="F29" s="15" t="s">
        <v>45</v>
      </c>
      <c r="I29"/>
    </row>
    <row r="30" spans="1:9" s="12" customFormat="1" ht="16.2" thickBot="1">
      <c r="A30" s="873"/>
      <c r="B30" s="37" t="s">
        <v>31</v>
      </c>
      <c r="C30" s="868"/>
      <c r="D30" s="869"/>
      <c r="E30" s="869"/>
      <c r="F30" s="870"/>
      <c r="I30"/>
    </row>
    <row r="31" spans="1:9" s="12" customFormat="1" ht="15.6">
      <c r="A31" s="758" t="s">
        <v>36</v>
      </c>
      <c r="B31" s="38">
        <v>77.400000000000006</v>
      </c>
      <c r="C31" s="36">
        <v>0.99</v>
      </c>
      <c r="D31" s="117">
        <v>76.626000000000005</v>
      </c>
      <c r="E31" s="35">
        <v>3.1536383527440002</v>
      </c>
      <c r="F31" s="31">
        <v>3.2081773680000003</v>
      </c>
      <c r="I31"/>
    </row>
    <row r="32" spans="1:9" s="12" customFormat="1" ht="15.6">
      <c r="A32" s="758" t="s">
        <v>38</v>
      </c>
      <c r="B32" s="39">
        <v>77.400000000000006</v>
      </c>
      <c r="C32" s="116">
        <v>1</v>
      </c>
      <c r="D32" s="118">
        <v>77.400000000000006</v>
      </c>
      <c r="E32" s="118">
        <v>3.1269600000000004</v>
      </c>
      <c r="F32" s="119">
        <v>3.2405832000000006</v>
      </c>
      <c r="I32"/>
    </row>
    <row r="33" spans="1:9" s="12" customFormat="1" ht="15.6">
      <c r="A33" s="758" t="s">
        <v>33</v>
      </c>
      <c r="B33" s="38">
        <v>75.5</v>
      </c>
      <c r="C33" s="36">
        <v>1</v>
      </c>
      <c r="D33" s="35">
        <v>75.5</v>
      </c>
      <c r="E33" s="35">
        <v>3.0275499999999993</v>
      </c>
      <c r="F33" s="31">
        <v>3.1610339999999995</v>
      </c>
      <c r="I33"/>
    </row>
    <row r="34" spans="1:9" s="12" customFormat="1" ht="16.2" thickBot="1">
      <c r="A34" s="757" t="s">
        <v>34</v>
      </c>
      <c r="B34" s="40">
        <v>78.8</v>
      </c>
      <c r="C34" s="111">
        <v>1</v>
      </c>
      <c r="D34" s="34">
        <v>78.8</v>
      </c>
      <c r="E34" s="34">
        <v>3.5302399999999992</v>
      </c>
      <c r="F34" s="33">
        <v>3.2991983999999999</v>
      </c>
      <c r="I34"/>
    </row>
    <row r="35" spans="1:9" s="12" customFormat="1" ht="15.6">
      <c r="A35" s="761" t="s">
        <v>35</v>
      </c>
      <c r="B35" s="38"/>
      <c r="C35" s="36"/>
      <c r="D35" s="35"/>
      <c r="E35" s="35"/>
      <c r="F35" s="31"/>
      <c r="I35"/>
    </row>
    <row r="36" spans="1:9" s="12" customFormat="1" ht="15.6">
      <c r="A36" s="758">
        <v>1990</v>
      </c>
      <c r="B36" s="38">
        <v>77.338686713926293</v>
      </c>
      <c r="C36" s="36">
        <v>0.99</v>
      </c>
      <c r="D36" s="35">
        <v>76.565299846787028</v>
      </c>
      <c r="E36" s="35">
        <v>3.1133136579345035</v>
      </c>
      <c r="F36" s="31">
        <v>3.2056359739852796</v>
      </c>
      <c r="I36"/>
    </row>
    <row r="37" spans="1:9" s="12" customFormat="1" ht="15.6">
      <c r="A37" s="758">
        <v>1995</v>
      </c>
      <c r="B37" s="38">
        <v>77.42472547680174</v>
      </c>
      <c r="C37" s="36">
        <v>0.99</v>
      </c>
      <c r="D37" s="35">
        <v>76.650478222033726</v>
      </c>
      <c r="E37" s="35">
        <v>3.1287796145117728</v>
      </c>
      <c r="F37" s="31">
        <v>3.2092022222001075</v>
      </c>
      <c r="I37"/>
    </row>
    <row r="38" spans="1:9" s="12" customFormat="1" ht="15.6">
      <c r="A38" s="758">
        <v>2000</v>
      </c>
      <c r="B38" s="38">
        <v>76.664582103814439</v>
      </c>
      <c r="C38" s="36">
        <v>0.99444444444444424</v>
      </c>
      <c r="D38" s="35">
        <v>76.238667758793227</v>
      </c>
      <c r="E38" s="35">
        <v>3.1402174480062239</v>
      </c>
      <c r="F38" s="31">
        <v>3.1919605417251553</v>
      </c>
      <c r="I38"/>
    </row>
    <row r="39" spans="1:9" s="12" customFormat="1" ht="15.6">
      <c r="A39" s="758">
        <v>2005</v>
      </c>
      <c r="B39" s="38">
        <f>D39</f>
        <v>75.876886566953161</v>
      </c>
      <c r="C39" s="36">
        <v>1</v>
      </c>
      <c r="D39" s="35">
        <v>75.876886566953161</v>
      </c>
      <c r="E39" s="35">
        <v>3.1440026364226301</v>
      </c>
      <c r="F39" s="31">
        <v>3.1768134867851949</v>
      </c>
      <c r="I39"/>
    </row>
    <row r="40" spans="1:9" s="12" customFormat="1" ht="15.6">
      <c r="A40" s="758">
        <v>2010</v>
      </c>
      <c r="B40" s="530">
        <f t="shared" ref="B40:B45" si="2">D40</f>
        <v>76.865334893567407</v>
      </c>
      <c r="C40" s="36">
        <v>1</v>
      </c>
      <c r="D40" s="35">
        <v>76.865334893567407</v>
      </c>
      <c r="E40" s="35">
        <v>3.1452187973558057</v>
      </c>
      <c r="F40" s="31">
        <v>3.2181978413238799</v>
      </c>
      <c r="I40"/>
    </row>
    <row r="41" spans="1:9" s="12" customFormat="1" ht="15.6">
      <c r="A41" s="758">
        <v>2015</v>
      </c>
      <c r="B41" s="530">
        <f t="shared" si="2"/>
        <v>76.606154923857275</v>
      </c>
      <c r="C41" s="36">
        <v>1</v>
      </c>
      <c r="D41" s="35">
        <v>76.606154923857275</v>
      </c>
      <c r="E41" s="35">
        <v>3.1438415169539318</v>
      </c>
      <c r="F41" s="31">
        <v>3.2073464943520564</v>
      </c>
      <c r="I41"/>
    </row>
    <row r="42" spans="1:9" s="12" customFormat="1" ht="15.6">
      <c r="A42" s="763">
        <v>2020</v>
      </c>
      <c r="B42" s="530">
        <f t="shared" si="2"/>
        <v>76.496602829037101</v>
      </c>
      <c r="C42" s="528">
        <v>1</v>
      </c>
      <c r="D42" s="529">
        <v>76.496602829037101</v>
      </c>
      <c r="E42" s="529">
        <v>3.1431249420841842</v>
      </c>
      <c r="F42" s="531">
        <v>3.2027597672461252</v>
      </c>
      <c r="I42"/>
    </row>
    <row r="43" spans="1:9" s="12" customFormat="1" ht="15.6">
      <c r="A43" s="763">
        <v>2021</v>
      </c>
      <c r="B43" s="530">
        <f t="shared" si="2"/>
        <v>76.50132578031571</v>
      </c>
      <c r="C43" s="528">
        <v>1</v>
      </c>
      <c r="D43" s="529">
        <v>76.50132578031571</v>
      </c>
      <c r="E43" s="529">
        <v>3.1431424645903259</v>
      </c>
      <c r="F43" s="531">
        <v>3.2029575077702583</v>
      </c>
      <c r="I43"/>
    </row>
    <row r="44" spans="1:9" s="12" customFormat="1" ht="15.6">
      <c r="A44" s="763">
        <v>2022</v>
      </c>
      <c r="B44" s="530">
        <f>D44</f>
        <v>76.608507565040867</v>
      </c>
      <c r="C44" s="528">
        <v>1</v>
      </c>
      <c r="D44" s="529">
        <v>76.608507565040867</v>
      </c>
      <c r="E44" s="529">
        <v>3.1435395886284132</v>
      </c>
      <c r="F44" s="531">
        <v>3.2074449947331312</v>
      </c>
      <c r="I44"/>
    </row>
    <row r="45" spans="1:9" s="12" customFormat="1" ht="16.2" thickBot="1">
      <c r="A45" s="809">
        <v>2023</v>
      </c>
      <c r="B45" s="810">
        <f t="shared" si="2"/>
        <v>76.426944003278678</v>
      </c>
      <c r="C45" s="811">
        <v>1</v>
      </c>
      <c r="D45" s="812">
        <v>76.426944003278678</v>
      </c>
      <c r="E45" s="812">
        <v>3.1360893424039022</v>
      </c>
      <c r="F45" s="813">
        <v>3.1998432915292714</v>
      </c>
      <c r="I45"/>
    </row>
    <row r="46" spans="1:9" s="12" customFormat="1" ht="15.6">
      <c r="A46" s="760"/>
      <c r="B46" s="36"/>
      <c r="C46" s="36"/>
      <c r="D46" s="35"/>
      <c r="E46" s="35"/>
      <c r="F46" s="35"/>
      <c r="I46"/>
    </row>
    <row r="47" spans="1:9" s="12" customFormat="1" ht="15.6">
      <c r="A47" s="760"/>
      <c r="I47"/>
    </row>
    <row r="48" spans="1:9" s="12" customFormat="1" ht="16.2" thickBot="1">
      <c r="A48" s="760"/>
      <c r="I48"/>
    </row>
    <row r="49" spans="1:9" s="12" customFormat="1" ht="18">
      <c r="A49" s="756" t="s">
        <v>106</v>
      </c>
      <c r="B49" s="17" t="s">
        <v>46</v>
      </c>
      <c r="C49" s="867" t="s">
        <v>48</v>
      </c>
      <c r="D49" s="18" t="s">
        <v>43</v>
      </c>
      <c r="E49" s="18" t="s">
        <v>47</v>
      </c>
      <c r="F49" s="15" t="s">
        <v>45</v>
      </c>
      <c r="I49"/>
    </row>
    <row r="50" spans="1:9" s="12" customFormat="1" ht="16.2" thickBot="1">
      <c r="A50" s="757"/>
      <c r="B50" s="37" t="s">
        <v>31</v>
      </c>
      <c r="C50" s="868"/>
      <c r="D50" s="869"/>
      <c r="E50" s="869"/>
      <c r="F50" s="870"/>
      <c r="I50"/>
    </row>
    <row r="51" spans="1:9" s="12" customFormat="1" ht="15.6">
      <c r="A51" s="758" t="s">
        <v>336</v>
      </c>
      <c r="B51" s="38">
        <v>94.6</v>
      </c>
      <c r="C51" s="36">
        <v>0.98</v>
      </c>
      <c r="D51" s="35">
        <v>92.707999999999998</v>
      </c>
      <c r="E51" s="35">
        <v>2.4268758911620032</v>
      </c>
      <c r="F51" s="31">
        <v>3.8814985439999994</v>
      </c>
      <c r="I51"/>
    </row>
    <row r="52" spans="1:9" s="12" customFormat="1" ht="15.6">
      <c r="A52" s="758" t="s">
        <v>335</v>
      </c>
      <c r="B52" s="38">
        <v>94.6</v>
      </c>
      <c r="C52" s="36">
        <v>1</v>
      </c>
      <c r="D52" s="35">
        <v>94.6</v>
      </c>
      <c r="E52" s="35">
        <v>2.44068</v>
      </c>
      <c r="F52" s="31">
        <v>3.9607127999999996</v>
      </c>
      <c r="I52"/>
    </row>
    <row r="53" spans="1:9" s="12" customFormat="1" ht="15.6">
      <c r="A53" s="758" t="s">
        <v>39</v>
      </c>
      <c r="B53" s="38">
        <v>89.5</v>
      </c>
      <c r="C53" s="36">
        <v>1</v>
      </c>
      <c r="D53" s="35">
        <v>89.5</v>
      </c>
      <c r="E53" s="35">
        <v>1.7810499999999996</v>
      </c>
      <c r="F53" s="31">
        <v>3.7471859999999997</v>
      </c>
      <c r="I53"/>
    </row>
    <row r="54" spans="1:9" s="12" customFormat="1" ht="16.2" thickBot="1">
      <c r="A54" s="757" t="s">
        <v>40</v>
      </c>
      <c r="B54" s="41">
        <v>99.7</v>
      </c>
      <c r="C54" s="111">
        <v>1</v>
      </c>
      <c r="D54" s="34">
        <v>99.7</v>
      </c>
      <c r="E54" s="34">
        <v>3.0408499999999998</v>
      </c>
      <c r="F54" s="33">
        <v>4.1742395999999999</v>
      </c>
      <c r="I54"/>
    </row>
    <row r="55" spans="1:9" s="12" customFormat="1" ht="15.6">
      <c r="A55" s="761" t="s">
        <v>35</v>
      </c>
      <c r="B55" s="38"/>
      <c r="C55" s="36"/>
      <c r="D55" s="35"/>
      <c r="E55" s="35"/>
      <c r="F55" s="31"/>
      <c r="I55"/>
    </row>
    <row r="56" spans="1:9" s="12" customFormat="1" ht="15.6">
      <c r="A56" s="758">
        <v>1990</v>
      </c>
      <c r="B56" s="38">
        <v>96.512130599999992</v>
      </c>
      <c r="C56" s="36">
        <v>0.98</v>
      </c>
      <c r="D56" s="35">
        <v>94.581887987999991</v>
      </c>
      <c r="E56" s="35">
        <v>2.5018992444327046</v>
      </c>
      <c r="F56" s="31">
        <v>3.9599544862815836</v>
      </c>
      <c r="I56"/>
    </row>
    <row r="57" spans="1:9" s="12" customFormat="1" ht="15.6">
      <c r="A57" s="758">
        <v>1995</v>
      </c>
      <c r="B57" s="38">
        <v>95.92587619999999</v>
      </c>
      <c r="C57" s="36">
        <v>0.98</v>
      </c>
      <c r="D57" s="35">
        <v>94.007358675999996</v>
      </c>
      <c r="E57" s="35">
        <v>2.5189760595499311</v>
      </c>
      <c r="F57" s="31">
        <v>3.9359000930467674</v>
      </c>
      <c r="I57"/>
    </row>
    <row r="58" spans="1:9" s="12" customFormat="1" ht="15.6">
      <c r="A58" s="758">
        <v>2000</v>
      </c>
      <c r="B58" s="38">
        <v>93.312446942860277</v>
      </c>
      <c r="C58" s="36">
        <v>0.98888888888888893</v>
      </c>
      <c r="D58" s="35">
        <v>92.275641976828496</v>
      </c>
      <c r="E58" s="35">
        <v>2.4272176744007412</v>
      </c>
      <c r="F58" s="31">
        <v>3.8633965782858555</v>
      </c>
      <c r="I58"/>
    </row>
    <row r="59" spans="1:9" s="12" customFormat="1" ht="15.6">
      <c r="A59" s="758">
        <v>2005</v>
      </c>
      <c r="B59" s="38">
        <f>D59</f>
        <v>94.305048520078358</v>
      </c>
      <c r="C59" s="36">
        <v>1</v>
      </c>
      <c r="D59" s="35">
        <v>94.305048520078358</v>
      </c>
      <c r="E59" s="35">
        <v>2.3993862828272818</v>
      </c>
      <c r="F59" s="31">
        <v>3.9483637714386406</v>
      </c>
      <c r="I59"/>
    </row>
    <row r="60" spans="1:9" s="12" customFormat="1" ht="15.6">
      <c r="A60" s="758">
        <v>2010</v>
      </c>
      <c r="B60" s="38">
        <f t="shared" ref="B60:B65" si="3">D60</f>
        <v>93.697392219773931</v>
      </c>
      <c r="C60" s="36">
        <v>1</v>
      </c>
      <c r="D60" s="35">
        <v>93.697392219773931</v>
      </c>
      <c r="E60" s="35">
        <v>2.3172377995396065</v>
      </c>
      <c r="F60" s="31">
        <v>3.922922417457495</v>
      </c>
      <c r="I60"/>
    </row>
    <row r="61" spans="1:9" s="12" customFormat="1" ht="15.6">
      <c r="A61" s="758">
        <v>2015</v>
      </c>
      <c r="B61" s="38">
        <f t="shared" si="3"/>
        <v>94.619367288333706</v>
      </c>
      <c r="C61" s="36">
        <v>1</v>
      </c>
      <c r="D61" s="35">
        <v>94.619367288333706</v>
      </c>
      <c r="E61" s="35">
        <v>2.3354841548716947</v>
      </c>
      <c r="F61" s="31">
        <v>3.9615236696279554</v>
      </c>
      <c r="I61"/>
    </row>
    <row r="62" spans="1:9" s="12" customFormat="1" ht="15.6">
      <c r="A62" s="763">
        <v>2020</v>
      </c>
      <c r="B62" s="38">
        <f t="shared" si="3"/>
        <v>94.013090856955586</v>
      </c>
      <c r="C62" s="36">
        <v>1</v>
      </c>
      <c r="D62" s="35">
        <v>94.013090856955586</v>
      </c>
      <c r="E62" s="35">
        <v>2.3562315171612611</v>
      </c>
      <c r="F62" s="31">
        <v>3.936140087999016</v>
      </c>
      <c r="I62"/>
    </row>
    <row r="63" spans="1:9" s="12" customFormat="1" ht="15.6">
      <c r="A63" s="763">
        <v>2021</v>
      </c>
      <c r="B63" s="38">
        <f t="shared" si="3"/>
        <v>93.077725572419112</v>
      </c>
      <c r="C63" s="36">
        <v>1</v>
      </c>
      <c r="D63" s="35">
        <v>93.077725572419112</v>
      </c>
      <c r="E63" s="35">
        <v>2.3344908067472239</v>
      </c>
      <c r="F63" s="31">
        <v>3.8969782142660434</v>
      </c>
      <c r="I63"/>
    </row>
    <row r="64" spans="1:9" s="12" customFormat="1" ht="15.6">
      <c r="A64" s="763">
        <v>2022</v>
      </c>
      <c r="B64" s="38">
        <f>D64</f>
        <v>93.233029055518955</v>
      </c>
      <c r="C64" s="36">
        <v>1</v>
      </c>
      <c r="D64" s="35">
        <v>93.233029055518955</v>
      </c>
      <c r="E64" s="35">
        <v>2.3100524573522705</v>
      </c>
      <c r="F64" s="31">
        <v>3.9034804604964677</v>
      </c>
      <c r="I64"/>
    </row>
    <row r="65" spans="1:12" s="12" customFormat="1" ht="16.2" thickBot="1">
      <c r="A65" s="809">
        <v>2023</v>
      </c>
      <c r="B65" s="41">
        <f t="shared" si="3"/>
        <v>93.395221404523681</v>
      </c>
      <c r="C65" s="111">
        <v>1</v>
      </c>
      <c r="D65" s="34">
        <v>93.395221404523681</v>
      </c>
      <c r="E65" s="34">
        <v>2.3024525811530716</v>
      </c>
      <c r="F65" s="33">
        <v>3.9102711297645976</v>
      </c>
      <c r="I65"/>
    </row>
    <row r="66" spans="1:12" ht="15.6">
      <c r="H66" s="12"/>
    </row>
    <row r="67" spans="1:12" ht="16.2" thickBot="1">
      <c r="H67" s="12"/>
    </row>
    <row r="68" spans="1:12" ht="18">
      <c r="A68" s="756" t="s">
        <v>104</v>
      </c>
      <c r="B68" s="91" t="s">
        <v>41</v>
      </c>
      <c r="C68" s="867" t="s">
        <v>48</v>
      </c>
      <c r="D68" s="18" t="s">
        <v>41</v>
      </c>
      <c r="E68" s="18" t="s">
        <v>42</v>
      </c>
      <c r="F68" s="24" t="s">
        <v>49</v>
      </c>
      <c r="H68" s="12"/>
    </row>
    <row r="69" spans="1:12" ht="16.2" thickBot="1">
      <c r="A69" s="757"/>
      <c r="B69" s="13" t="s">
        <v>31</v>
      </c>
      <c r="C69" s="868"/>
      <c r="D69" s="869"/>
      <c r="E69" s="869"/>
      <c r="F69" s="870"/>
      <c r="H69" s="12"/>
    </row>
    <row r="70" spans="1:12" ht="15.6">
      <c r="A70" s="761" t="s">
        <v>35</v>
      </c>
      <c r="B70" s="16"/>
      <c r="C70" s="43"/>
      <c r="D70" s="42"/>
      <c r="E70" s="42"/>
      <c r="F70" s="14"/>
      <c r="H70" s="12"/>
    </row>
    <row r="71" spans="1:12" ht="15.6">
      <c r="A71" s="758" t="s">
        <v>107</v>
      </c>
      <c r="B71" s="19">
        <v>57.6</v>
      </c>
      <c r="C71" s="25">
        <v>1</v>
      </c>
      <c r="D71" s="26">
        <v>57.6</v>
      </c>
      <c r="E71" s="26">
        <v>2.8511999999999995</v>
      </c>
      <c r="F71" s="20">
        <v>2.4115967999999999</v>
      </c>
      <c r="H71" s="12"/>
      <c r="L71" s="90"/>
    </row>
    <row r="72" spans="1:12" ht="15.6">
      <c r="A72" s="758">
        <v>2005</v>
      </c>
      <c r="B72" s="19">
        <v>58.320288351566546</v>
      </c>
      <c r="C72" s="25">
        <v>1</v>
      </c>
      <c r="D72" s="26">
        <v>58.320288351566546</v>
      </c>
      <c r="E72" s="26">
        <v>2.7564124284636353</v>
      </c>
      <c r="F72" s="20">
        <v>2.4417538327033883</v>
      </c>
      <c r="H72" s="12"/>
      <c r="J72" s="90"/>
      <c r="L72" s="90"/>
    </row>
    <row r="73" spans="1:12" ht="15.6">
      <c r="A73" s="758">
        <v>2010</v>
      </c>
      <c r="B73" s="19">
        <f t="shared" ref="B73:B76" si="4">D73</f>
        <v>56.750283622978003</v>
      </c>
      <c r="C73" s="25">
        <v>1</v>
      </c>
      <c r="D73" s="26">
        <v>56.750283622978003</v>
      </c>
      <c r="E73" s="26">
        <v>2.6523060256157645</v>
      </c>
      <c r="F73" s="20">
        <v>2.376020874726843</v>
      </c>
      <c r="H73" s="12"/>
      <c r="J73" s="90"/>
      <c r="L73" s="90"/>
    </row>
    <row r="74" spans="1:12" ht="15.6">
      <c r="A74" s="758">
        <v>2015</v>
      </c>
      <c r="B74" s="19">
        <f t="shared" si="4"/>
        <v>56.865466015404607</v>
      </c>
      <c r="C74" s="25">
        <v>1</v>
      </c>
      <c r="D74" s="26">
        <v>56.865466015404607</v>
      </c>
      <c r="E74" s="26">
        <v>2.6531823627997646</v>
      </c>
      <c r="F74" s="20">
        <v>2.3808433311329598</v>
      </c>
      <c r="H74" s="12"/>
      <c r="J74" s="90"/>
      <c r="L74" s="90"/>
    </row>
    <row r="75" spans="1:12" ht="15.6">
      <c r="A75" s="763">
        <v>2020</v>
      </c>
      <c r="B75" s="19">
        <f t="shared" si="4"/>
        <v>56.146292133410732</v>
      </c>
      <c r="C75" s="25">
        <v>1</v>
      </c>
      <c r="D75" s="26">
        <v>56.146292133410732</v>
      </c>
      <c r="E75" s="26">
        <v>2.6392977163674654</v>
      </c>
      <c r="F75" s="20">
        <v>2.3507329590416406</v>
      </c>
      <c r="H75" s="12"/>
      <c r="L75" s="90"/>
    </row>
    <row r="76" spans="1:12" ht="15.6">
      <c r="A76" s="763">
        <v>2021</v>
      </c>
      <c r="B76" s="19">
        <f t="shared" si="4"/>
        <v>56.014185460778968</v>
      </c>
      <c r="C76" s="25">
        <v>1</v>
      </c>
      <c r="D76" s="26">
        <v>56.014185460778968</v>
      </c>
      <c r="E76" s="26">
        <v>2.648826707077256</v>
      </c>
      <c r="F76" s="20">
        <v>2.3452019168718938</v>
      </c>
      <c r="H76" s="12"/>
      <c r="L76" s="90"/>
    </row>
    <row r="77" spans="1:12" ht="15.6">
      <c r="A77" s="763">
        <v>2022</v>
      </c>
      <c r="B77" s="19">
        <f>D77</f>
        <v>56.530682436681325</v>
      </c>
      <c r="C77" s="25">
        <v>1</v>
      </c>
      <c r="D77" s="26">
        <v>56.530682436681325</v>
      </c>
      <c r="E77" s="26">
        <v>2.6651521886928289</v>
      </c>
      <c r="F77" s="20">
        <v>2.3668266122589738</v>
      </c>
      <c r="H77" s="12"/>
      <c r="L77" s="90"/>
    </row>
    <row r="78" spans="1:12" ht="16.2" thickBot="1">
      <c r="A78" s="809">
        <v>2023</v>
      </c>
      <c r="B78" s="814">
        <f>D78</f>
        <v>56.497334968095956</v>
      </c>
      <c r="C78" s="815">
        <v>1</v>
      </c>
      <c r="D78" s="816">
        <v>56.497334968095956</v>
      </c>
      <c r="E78" s="816">
        <v>2.6659978139410527</v>
      </c>
      <c r="F78" s="817">
        <v>2.3654304204442416</v>
      </c>
      <c r="H78" s="12"/>
      <c r="L78" s="90"/>
    </row>
    <row r="79" spans="1:12" ht="15.6">
      <c r="A79" s="760"/>
      <c r="B79" s="25"/>
      <c r="C79" s="25"/>
      <c r="D79" s="26"/>
      <c r="E79" s="26"/>
      <c r="F79" s="26"/>
      <c r="H79" s="12"/>
    </row>
    <row r="80" spans="1:12" ht="16.2" thickBot="1">
      <c r="H80" s="12"/>
    </row>
    <row r="81" spans="1:8" ht="19.8">
      <c r="A81" s="756" t="s">
        <v>111</v>
      </c>
      <c r="B81" s="21" t="s">
        <v>41</v>
      </c>
      <c r="C81" s="867" t="s">
        <v>48</v>
      </c>
      <c r="D81" s="22" t="s">
        <v>41</v>
      </c>
      <c r="E81" s="23" t="s">
        <v>126</v>
      </c>
      <c r="F81" s="24" t="s">
        <v>49</v>
      </c>
      <c r="H81" s="12"/>
    </row>
    <row r="82" spans="1:8" ht="16.2" thickBot="1">
      <c r="A82" s="757"/>
      <c r="B82" s="37" t="s">
        <v>31</v>
      </c>
      <c r="C82" s="868"/>
      <c r="D82" s="869"/>
      <c r="E82" s="869"/>
      <c r="F82" s="870"/>
      <c r="H82" s="12"/>
    </row>
    <row r="83" spans="1:8" ht="15.6">
      <c r="A83" s="759" t="s">
        <v>35</v>
      </c>
      <c r="B83" s="16"/>
      <c r="C83" s="43"/>
      <c r="D83" s="42"/>
      <c r="E83" s="42"/>
      <c r="F83" s="14"/>
      <c r="H83" s="12"/>
    </row>
    <row r="84" spans="1:8" ht="15.6">
      <c r="A84" s="758" t="s">
        <v>108</v>
      </c>
      <c r="B84" s="19">
        <v>44.4</v>
      </c>
      <c r="C84" s="25">
        <v>1</v>
      </c>
      <c r="D84" s="26">
        <v>44.4</v>
      </c>
      <c r="E84" s="26">
        <v>0.78951635999999981</v>
      </c>
      <c r="F84" s="20">
        <v>1.8589391999999998</v>
      </c>
      <c r="H84" s="12"/>
    </row>
    <row r="85" spans="1:8" ht="15.6">
      <c r="A85" s="758" t="s">
        <v>109</v>
      </c>
      <c r="B85" s="19">
        <v>42.110999999999997</v>
      </c>
      <c r="C85" s="25">
        <v>1</v>
      </c>
      <c r="D85" s="26">
        <v>42.110999999999997</v>
      </c>
      <c r="E85" s="26">
        <v>0.80679609204480007</v>
      </c>
      <c r="F85" s="20">
        <v>1.763103348</v>
      </c>
      <c r="H85" s="12"/>
    </row>
    <row r="86" spans="1:8" ht="15.6">
      <c r="A86" s="758">
        <v>2005</v>
      </c>
      <c r="B86" s="19">
        <v>42.128367142453726</v>
      </c>
      <c r="C86" s="25">
        <v>1</v>
      </c>
      <c r="D86" s="26">
        <v>42.128367142453726</v>
      </c>
      <c r="E86" s="26">
        <v>0.75352546699268996</v>
      </c>
      <c r="F86" s="20">
        <v>1.7638304755202525</v>
      </c>
      <c r="H86" s="12"/>
    </row>
    <row r="87" spans="1:8" ht="15.6">
      <c r="A87" s="758">
        <v>2010</v>
      </c>
      <c r="B87" s="19">
        <f t="shared" ref="B87:B90" si="5">D87</f>
        <v>42.815652404351546</v>
      </c>
      <c r="C87" s="25">
        <v>1</v>
      </c>
      <c r="D87" s="26">
        <v>42.815652404351546</v>
      </c>
      <c r="E87" s="26">
        <v>0.73518489699328982</v>
      </c>
      <c r="F87" s="20">
        <v>1.7926057348653905</v>
      </c>
      <c r="H87" s="12"/>
    </row>
    <row r="88" spans="1:8" ht="15.6">
      <c r="A88" s="758">
        <v>2015</v>
      </c>
      <c r="B88" s="19">
        <f t="shared" si="5"/>
        <v>43.313823449380507</v>
      </c>
      <c r="C88" s="25">
        <v>1</v>
      </c>
      <c r="D88" s="26">
        <v>43.313823449380507</v>
      </c>
      <c r="E88" s="26">
        <v>0.75054295940247351</v>
      </c>
      <c r="F88" s="20">
        <v>1.813463160178663</v>
      </c>
      <c r="H88" s="12"/>
    </row>
    <row r="89" spans="1:8" ht="15.6">
      <c r="A89" s="763">
        <v>2020</v>
      </c>
      <c r="B89" s="19">
        <f t="shared" si="5"/>
        <v>45.854109707401406</v>
      </c>
      <c r="C89" s="25">
        <v>1</v>
      </c>
      <c r="D89" s="26">
        <v>45.854109707401406</v>
      </c>
      <c r="E89" s="26">
        <v>0.8441733231430979</v>
      </c>
      <c r="F89" s="20">
        <v>1.919819865229482</v>
      </c>
      <c r="H89" s="12"/>
    </row>
    <row r="90" spans="1:8" ht="15.6">
      <c r="A90" s="763">
        <v>2021</v>
      </c>
      <c r="B90" s="19">
        <f t="shared" si="5"/>
        <v>45.489556572396666</v>
      </c>
      <c r="C90" s="25">
        <v>1</v>
      </c>
      <c r="D90" s="26">
        <v>45.489556572396666</v>
      </c>
      <c r="E90" s="26">
        <v>0.83049068157674355</v>
      </c>
      <c r="F90" s="20">
        <v>1.9045567545731035</v>
      </c>
      <c r="H90" s="12"/>
    </row>
    <row r="91" spans="1:8" ht="15.6">
      <c r="A91" s="763">
        <v>2022</v>
      </c>
      <c r="B91" s="19">
        <f>D91</f>
        <v>44.925273217670984</v>
      </c>
      <c r="C91" s="25">
        <v>1</v>
      </c>
      <c r="D91" s="26">
        <v>44.925273217670984</v>
      </c>
      <c r="E91" s="26">
        <v>0.80459814512218542</v>
      </c>
      <c r="F91" s="20">
        <v>1.8809313390774485</v>
      </c>
      <c r="H91" s="12"/>
    </row>
    <row r="92" spans="1:8" ht="16.2" thickBot="1">
      <c r="A92" s="809">
        <v>2023</v>
      </c>
      <c r="B92" s="814">
        <f>D92</f>
        <v>44.856696654757343</v>
      </c>
      <c r="C92" s="815">
        <v>1</v>
      </c>
      <c r="D92" s="816">
        <v>44.856696654757343</v>
      </c>
      <c r="E92" s="816">
        <v>0.75617216069396853</v>
      </c>
      <c r="F92" s="817">
        <v>1.8780601755413804</v>
      </c>
      <c r="H92" s="12"/>
    </row>
    <row r="93" spans="1:8" ht="15.6">
      <c r="H93" s="12"/>
    </row>
    <row r="94" spans="1:8" ht="16.2" thickBot="1">
      <c r="H94" s="12"/>
    </row>
    <row r="95" spans="1:8" ht="19.8">
      <c r="A95" s="756" t="s">
        <v>110</v>
      </c>
      <c r="B95" s="21" t="s">
        <v>41</v>
      </c>
      <c r="C95" s="867" t="s">
        <v>48</v>
      </c>
      <c r="D95" s="22" t="s">
        <v>41</v>
      </c>
      <c r="E95" s="23" t="s">
        <v>126</v>
      </c>
      <c r="F95" s="24" t="s">
        <v>49</v>
      </c>
      <c r="H95" s="12"/>
    </row>
    <row r="96" spans="1:8" ht="16.5" customHeight="1" thickBot="1">
      <c r="A96" s="757"/>
      <c r="B96" s="37" t="s">
        <v>31</v>
      </c>
      <c r="C96" s="868"/>
      <c r="D96" s="869"/>
      <c r="E96" s="869"/>
      <c r="F96" s="870"/>
      <c r="H96" s="12"/>
    </row>
    <row r="97" spans="1:8" ht="15.6">
      <c r="A97" s="761" t="s">
        <v>35</v>
      </c>
      <c r="B97" s="16"/>
      <c r="C97" s="43"/>
      <c r="D97" s="42"/>
      <c r="E97" s="42"/>
      <c r="F97" s="14"/>
      <c r="H97" s="12"/>
    </row>
    <row r="98" spans="1:8" ht="15.6">
      <c r="A98" s="758" t="s">
        <v>108</v>
      </c>
      <c r="B98" s="19">
        <v>260</v>
      </c>
      <c r="C98" s="25">
        <v>1</v>
      </c>
      <c r="D98" s="26">
        <v>260</v>
      </c>
      <c r="E98" s="26">
        <v>0.837642</v>
      </c>
      <c r="F98" s="20">
        <v>10.885680000000001</v>
      </c>
      <c r="H98" s="12"/>
    </row>
    <row r="99" spans="1:8" ht="15.6">
      <c r="A99" s="758" t="s">
        <v>109</v>
      </c>
      <c r="B99" s="19">
        <v>270.57499999999999</v>
      </c>
      <c r="C99" s="25">
        <v>1</v>
      </c>
      <c r="D99" s="26">
        <v>270.57499999999999</v>
      </c>
      <c r="E99" s="26">
        <v>0.95351429819699984</v>
      </c>
      <c r="F99" s="20">
        <v>11.328434099999999</v>
      </c>
      <c r="H99" s="12"/>
    </row>
    <row r="100" spans="1:8" ht="15.6">
      <c r="A100" s="758">
        <v>2005</v>
      </c>
      <c r="B100" s="19">
        <v>263.65275931318735</v>
      </c>
      <c r="C100" s="25">
        <v>1</v>
      </c>
      <c r="D100" s="26">
        <v>263.65275931318735</v>
      </c>
      <c r="E100" s="26">
        <v>0.86958143176471736</v>
      </c>
      <c r="F100" s="20">
        <v>11.038613726924527</v>
      </c>
      <c r="H100" s="12"/>
    </row>
    <row r="101" spans="1:8" ht="15.6">
      <c r="A101" s="758">
        <v>2010</v>
      </c>
      <c r="B101" s="19">
        <f t="shared" ref="B101:B104" si="6">D101</f>
        <v>257.3903672181653</v>
      </c>
      <c r="C101" s="25">
        <v>1</v>
      </c>
      <c r="D101" s="26">
        <v>257.3903672181653</v>
      </c>
      <c r="E101" s="26">
        <v>0.86292656551022007</v>
      </c>
      <c r="F101" s="20">
        <v>10.776419894690143</v>
      </c>
      <c r="H101" s="12"/>
    </row>
    <row r="102" spans="1:8" ht="15.6">
      <c r="A102" s="758">
        <v>2015</v>
      </c>
      <c r="B102" s="19">
        <f t="shared" si="6"/>
        <v>250.0720396460319</v>
      </c>
      <c r="C102" s="25">
        <v>1</v>
      </c>
      <c r="D102" s="26">
        <v>250.0720396460319</v>
      </c>
      <c r="E102" s="26">
        <v>0.93055880575566929</v>
      </c>
      <c r="F102" s="20">
        <v>10.470016155900064</v>
      </c>
      <c r="H102" s="12"/>
    </row>
    <row r="103" spans="1:8" ht="15.6">
      <c r="A103" s="763">
        <v>2020</v>
      </c>
      <c r="B103" s="19">
        <f t="shared" si="6"/>
        <v>251.04321980263117</v>
      </c>
      <c r="C103" s="25">
        <v>1</v>
      </c>
      <c r="D103" s="26">
        <v>251.04321980263117</v>
      </c>
      <c r="E103" s="26">
        <v>0.88313336425101086</v>
      </c>
      <c r="F103" s="20">
        <v>10.510677526696561</v>
      </c>
      <c r="H103" s="12"/>
    </row>
    <row r="104" spans="1:8" ht="15.6">
      <c r="A104" s="763">
        <v>2021</v>
      </c>
      <c r="B104" s="19">
        <f t="shared" si="6"/>
        <v>247.92030480196138</v>
      </c>
      <c r="C104" s="25">
        <v>1</v>
      </c>
      <c r="D104" s="26">
        <v>247.92030480196138</v>
      </c>
      <c r="E104" s="26">
        <v>0.91794665085799754</v>
      </c>
      <c r="F104" s="20">
        <v>10.37992732144852</v>
      </c>
      <c r="H104" s="12"/>
    </row>
    <row r="105" spans="1:8" ht="15.6">
      <c r="A105" s="763">
        <v>2022</v>
      </c>
      <c r="B105" s="19">
        <f>D105</f>
        <v>250.75047680373757</v>
      </c>
      <c r="C105" s="25">
        <v>1</v>
      </c>
      <c r="D105" s="26">
        <v>250.75047680373757</v>
      </c>
      <c r="E105" s="26">
        <v>0.91128819485222756</v>
      </c>
      <c r="F105" s="20">
        <v>10.498420962818884</v>
      </c>
      <c r="H105" s="12"/>
    </row>
    <row r="106" spans="1:8" ht="16.2" thickBot="1">
      <c r="A106" s="809">
        <v>2023</v>
      </c>
      <c r="B106" s="814">
        <f>D106</f>
        <v>254.34719381914149</v>
      </c>
      <c r="C106" s="815">
        <v>1</v>
      </c>
      <c r="D106" s="816">
        <v>254.34719381914149</v>
      </c>
      <c r="E106" s="816">
        <v>0.89697450077622798</v>
      </c>
      <c r="F106" s="817">
        <v>10.649008310819816</v>
      </c>
      <c r="H106" s="12"/>
    </row>
    <row r="107" spans="1:8" ht="15.6">
      <c r="H107" s="12"/>
    </row>
    <row r="108" spans="1:8" ht="16.2" thickBot="1">
      <c r="H108" s="12"/>
    </row>
    <row r="109" spans="1:8" ht="19.8">
      <c r="A109" s="756" t="s">
        <v>112</v>
      </c>
      <c r="B109" s="21" t="s">
        <v>41</v>
      </c>
      <c r="C109" s="867" t="s">
        <v>48</v>
      </c>
      <c r="D109" s="22" t="s">
        <v>41</v>
      </c>
      <c r="E109" s="23" t="s">
        <v>126</v>
      </c>
      <c r="F109" s="24" t="s">
        <v>49</v>
      </c>
      <c r="H109" s="12"/>
    </row>
    <row r="110" spans="1:8" ht="16.2" thickBot="1">
      <c r="A110" s="757"/>
      <c r="B110" s="37" t="s">
        <v>31</v>
      </c>
      <c r="C110" s="868"/>
      <c r="D110" s="869"/>
      <c r="E110" s="869"/>
      <c r="F110" s="870"/>
      <c r="H110" s="12"/>
    </row>
    <row r="111" spans="1:8" ht="15.6">
      <c r="A111" s="761" t="s">
        <v>35</v>
      </c>
      <c r="B111" s="164"/>
      <c r="C111" s="43"/>
      <c r="D111" s="42"/>
      <c r="E111" s="42"/>
      <c r="F111" s="14"/>
      <c r="H111" s="12"/>
    </row>
    <row r="112" spans="1:8" ht="15.6">
      <c r="A112" s="758" t="s">
        <v>107</v>
      </c>
      <c r="B112" s="165">
        <v>195.08600000000001</v>
      </c>
      <c r="C112" s="25">
        <v>1</v>
      </c>
      <c r="D112" s="26">
        <v>195.08600000000001</v>
      </c>
      <c r="E112" s="26">
        <v>1.5036214666903203</v>
      </c>
      <c r="F112" s="20">
        <v>8.1678606480000013</v>
      </c>
      <c r="H112" s="12"/>
    </row>
    <row r="113" spans="1:8" ht="15.6">
      <c r="A113" s="758">
        <v>2005</v>
      </c>
      <c r="B113" s="165">
        <v>197.57908382422107</v>
      </c>
      <c r="C113" s="25">
        <v>1</v>
      </c>
      <c r="D113" s="26">
        <v>197.57908382422107</v>
      </c>
      <c r="E113" s="26">
        <v>1.4372313485224035</v>
      </c>
      <c r="F113" s="20">
        <v>8.2722410815524885</v>
      </c>
      <c r="H113" s="12"/>
    </row>
    <row r="114" spans="1:8" ht="15.6">
      <c r="A114" s="758">
        <v>2010</v>
      </c>
      <c r="B114" s="19">
        <f t="shared" ref="B114:B117" si="7">D114</f>
        <v>197.02930049925894</v>
      </c>
      <c r="C114" s="25">
        <v>1</v>
      </c>
      <c r="D114" s="26">
        <v>197.02930049925894</v>
      </c>
      <c r="E114" s="26">
        <v>1.2163967604699109</v>
      </c>
      <c r="F114" s="20">
        <v>8.2492227533029734</v>
      </c>
      <c r="H114" s="12"/>
    </row>
    <row r="115" spans="1:8" ht="15.6">
      <c r="A115" s="758">
        <v>2015</v>
      </c>
      <c r="B115" s="19">
        <f t="shared" si="7"/>
        <v>201.53237166699975</v>
      </c>
      <c r="C115" s="25">
        <v>1</v>
      </c>
      <c r="D115" s="26">
        <v>201.53237166699975</v>
      </c>
      <c r="E115" s="26">
        <v>1.3511018897030949</v>
      </c>
      <c r="F115" s="20">
        <v>8.4377573369539451</v>
      </c>
      <c r="H115" s="12"/>
    </row>
    <row r="116" spans="1:8" ht="15.6">
      <c r="A116" s="763">
        <v>2020</v>
      </c>
      <c r="B116" s="19">
        <f t="shared" si="7"/>
        <v>195.87693846739199</v>
      </c>
      <c r="C116" s="25">
        <v>1</v>
      </c>
      <c r="D116" s="26">
        <v>195.87693846739199</v>
      </c>
      <c r="E116" s="26">
        <v>1.3534215922519266</v>
      </c>
      <c r="F116" s="20">
        <v>8.2009756597527677</v>
      </c>
      <c r="H116" s="12"/>
    </row>
    <row r="117" spans="1:8" ht="15.6">
      <c r="A117" s="763">
        <v>2021</v>
      </c>
      <c r="B117" s="19">
        <f t="shared" si="7"/>
        <v>192.70976115182827</v>
      </c>
      <c r="C117" s="25">
        <v>1</v>
      </c>
      <c r="D117" s="26">
        <v>192.70976115182827</v>
      </c>
      <c r="E117" s="26">
        <v>1.3971382924433644</v>
      </c>
      <c r="F117" s="20">
        <v>8.0683722799047466</v>
      </c>
      <c r="H117" s="12"/>
    </row>
    <row r="118" spans="1:8" ht="15.6">
      <c r="A118" s="763">
        <v>2022</v>
      </c>
      <c r="B118" s="19">
        <f>D118</f>
        <v>191.48588862360236</v>
      </c>
      <c r="C118" s="25">
        <v>1</v>
      </c>
      <c r="D118" s="26">
        <v>191.48588862360236</v>
      </c>
      <c r="E118" s="26">
        <v>1.4135065465377312</v>
      </c>
      <c r="F118" s="20">
        <v>8.0171311848929836</v>
      </c>
      <c r="H118" s="12"/>
    </row>
    <row r="119" spans="1:8" ht="16.2" thickBot="1">
      <c r="A119" s="809">
        <v>2023</v>
      </c>
      <c r="B119" s="814">
        <f>D119</f>
        <v>199.06898594324454</v>
      </c>
      <c r="C119" s="815">
        <v>1</v>
      </c>
      <c r="D119" s="816">
        <v>199.06898594324454</v>
      </c>
      <c r="E119" s="816">
        <v>1.3540992924926865</v>
      </c>
      <c r="F119" s="817">
        <v>8.3346203034717625</v>
      </c>
      <c r="H119" s="12"/>
    </row>
    <row r="120" spans="1:8" ht="15.6">
      <c r="A120" s="760"/>
      <c r="B120" s="25"/>
      <c r="C120" s="25"/>
      <c r="D120" s="26"/>
      <c r="E120" s="26"/>
      <c r="F120" s="26"/>
      <c r="H120" s="12"/>
    </row>
    <row r="121" spans="1:8" ht="16.2" thickBot="1">
      <c r="H121" s="12"/>
    </row>
    <row r="122" spans="1:8" ht="18">
      <c r="A122" s="756" t="s">
        <v>113</v>
      </c>
      <c r="B122" s="17" t="s">
        <v>41</v>
      </c>
      <c r="C122" s="867" t="s">
        <v>48</v>
      </c>
      <c r="D122" s="18" t="s">
        <v>41</v>
      </c>
      <c r="E122" s="18" t="s">
        <v>42</v>
      </c>
      <c r="F122" s="15" t="s">
        <v>49</v>
      </c>
      <c r="H122" s="12"/>
    </row>
    <row r="123" spans="1:8" ht="16.2" thickBot="1">
      <c r="A123" s="757"/>
      <c r="B123" s="37" t="s">
        <v>31</v>
      </c>
      <c r="C123" s="868"/>
      <c r="D123" s="869"/>
      <c r="E123" s="869"/>
      <c r="F123" s="870"/>
      <c r="H123" s="12"/>
    </row>
    <row r="124" spans="1:8" ht="15.6">
      <c r="A124" s="759" t="s">
        <v>35</v>
      </c>
      <c r="B124" s="164"/>
      <c r="C124" s="43"/>
      <c r="D124" s="42"/>
      <c r="E124" s="42"/>
      <c r="F124" s="14"/>
      <c r="H124" s="12"/>
    </row>
    <row r="125" spans="1:8" ht="15.6">
      <c r="A125" s="758" t="s">
        <v>114</v>
      </c>
      <c r="B125" s="165">
        <v>80.248121784245555</v>
      </c>
      <c r="C125" s="25">
        <v>1</v>
      </c>
      <c r="D125" s="26">
        <v>80.248121784245555</v>
      </c>
      <c r="E125" s="26">
        <v>3.1518534053384726</v>
      </c>
      <c r="F125" s="20">
        <v>3.359828362862793</v>
      </c>
      <c r="H125" s="12"/>
    </row>
    <row r="126" spans="1:8" ht="15.6">
      <c r="A126" s="758">
        <v>2010</v>
      </c>
      <c r="B126" s="19">
        <f t="shared" ref="B126:B129" si="8">D126</f>
        <v>78.939603148032532</v>
      </c>
      <c r="C126" s="25">
        <v>1</v>
      </c>
      <c r="D126" s="26">
        <v>78.939603148032532</v>
      </c>
      <c r="E126" s="26">
        <v>3.1039051957806394</v>
      </c>
      <c r="F126" s="20">
        <v>3.3050433046018259</v>
      </c>
      <c r="H126" s="12"/>
    </row>
    <row r="127" spans="1:8" ht="15.6">
      <c r="A127" s="758">
        <v>2015</v>
      </c>
      <c r="B127" s="19">
        <f t="shared" si="8"/>
        <v>79.60851567121307</v>
      </c>
      <c r="C127" s="25">
        <v>1</v>
      </c>
      <c r="D127" s="26">
        <v>79.60851567121307</v>
      </c>
      <c r="E127" s="26">
        <v>3.100274034299721</v>
      </c>
      <c r="F127" s="20">
        <v>3.3330493341223484</v>
      </c>
      <c r="H127" s="12"/>
    </row>
    <row r="128" spans="1:8" ht="15.6">
      <c r="A128" s="763">
        <v>2020</v>
      </c>
      <c r="B128" s="19">
        <f t="shared" si="8"/>
        <v>80.211454610162747</v>
      </c>
      <c r="C128" s="25">
        <v>1</v>
      </c>
      <c r="D128" s="26">
        <v>80.211454610162747</v>
      </c>
      <c r="E128" s="26">
        <v>3.1237548883381772</v>
      </c>
      <c r="F128" s="20">
        <v>3.3582931816182935</v>
      </c>
      <c r="H128" s="12"/>
    </row>
    <row r="129" spans="1:8" ht="15.6">
      <c r="A129" s="763">
        <v>2021</v>
      </c>
      <c r="B129" s="19">
        <f t="shared" si="8"/>
        <v>79.606301666390934</v>
      </c>
      <c r="C129" s="25">
        <v>1</v>
      </c>
      <c r="D129" s="26">
        <v>79.606301666390934</v>
      </c>
      <c r="E129" s="26">
        <v>3.1001878120959283</v>
      </c>
      <c r="F129" s="20">
        <v>3.3329566381684557</v>
      </c>
      <c r="H129" s="12"/>
    </row>
    <row r="130" spans="1:8" ht="15.6">
      <c r="A130" s="763">
        <v>2022</v>
      </c>
      <c r="B130" s="19">
        <f>D130</f>
        <v>80.479669410891788</v>
      </c>
      <c r="C130" s="25">
        <v>1</v>
      </c>
      <c r="D130" s="26">
        <v>80.479669410891788</v>
      </c>
      <c r="E130" s="26">
        <v>3.1342002455377691</v>
      </c>
      <c r="F130" s="20">
        <v>3.369522798895217</v>
      </c>
      <c r="H130" s="12"/>
    </row>
    <row r="131" spans="1:8" ht="16.2" thickBot="1">
      <c r="A131" s="809">
        <v>2023</v>
      </c>
      <c r="B131" s="814">
        <f>D131</f>
        <v>80.610780729905102</v>
      </c>
      <c r="C131" s="815">
        <v>1</v>
      </c>
      <c r="D131" s="816">
        <v>80.610780729905102</v>
      </c>
      <c r="E131" s="816">
        <v>3.1393062447454256</v>
      </c>
      <c r="F131" s="817">
        <v>3.3750121675996665</v>
      </c>
      <c r="H131" s="12"/>
    </row>
    <row r="132" spans="1:8" ht="15.6">
      <c r="H132" s="12"/>
    </row>
    <row r="133" spans="1:8" ht="16.2" thickBot="1">
      <c r="H133" s="12"/>
    </row>
    <row r="134" spans="1:8" ht="18">
      <c r="A134" s="756" t="s">
        <v>115</v>
      </c>
      <c r="B134" s="17" t="s">
        <v>41</v>
      </c>
      <c r="C134" s="867" t="s">
        <v>48</v>
      </c>
      <c r="D134" s="18" t="s">
        <v>41</v>
      </c>
      <c r="E134" s="18" t="s">
        <v>42</v>
      </c>
      <c r="F134" s="15" t="s">
        <v>49</v>
      </c>
      <c r="H134" s="12"/>
    </row>
    <row r="135" spans="1:8" ht="16.2" thickBot="1">
      <c r="A135" s="757"/>
      <c r="B135" s="37" t="s">
        <v>31</v>
      </c>
      <c r="C135" s="868"/>
      <c r="D135" s="27"/>
      <c r="E135" s="27"/>
      <c r="F135" s="28"/>
      <c r="H135" s="12"/>
    </row>
    <row r="136" spans="1:8" ht="15.6">
      <c r="A136" s="761" t="s">
        <v>35</v>
      </c>
      <c r="B136" s="164"/>
      <c r="C136" s="42"/>
      <c r="D136" s="42"/>
      <c r="E136" s="42"/>
      <c r="F136" s="14"/>
      <c r="H136" s="12"/>
    </row>
    <row r="137" spans="1:8" ht="15.6">
      <c r="A137" s="758" t="s">
        <v>127</v>
      </c>
      <c r="B137" s="165">
        <v>98.103137300425274</v>
      </c>
      <c r="C137" s="26">
        <v>1</v>
      </c>
      <c r="D137" s="26">
        <v>98.103137300425274</v>
      </c>
      <c r="E137" s="26">
        <v>0.9063206414244741</v>
      </c>
      <c r="F137" s="20">
        <v>4.1073821524942051</v>
      </c>
      <c r="H137" s="12"/>
    </row>
    <row r="138" spans="1:8" ht="15.6">
      <c r="A138" s="758">
        <v>2010</v>
      </c>
      <c r="B138" s="19">
        <f t="shared" ref="B138:B141" si="9">D138</f>
        <v>110.48715304950426</v>
      </c>
      <c r="C138" s="26">
        <v>1</v>
      </c>
      <c r="D138" s="26">
        <v>110.48715304950426</v>
      </c>
      <c r="E138" s="26">
        <v>0.90967022627863992</v>
      </c>
      <c r="F138" s="20">
        <v>4.6258761238766439</v>
      </c>
      <c r="H138" s="12"/>
    </row>
    <row r="139" spans="1:8" ht="15.6">
      <c r="A139" s="758">
        <v>2015</v>
      </c>
      <c r="B139" s="19">
        <f t="shared" si="9"/>
        <v>100.73216793809662</v>
      </c>
      <c r="C139" s="26">
        <v>1</v>
      </c>
      <c r="D139" s="26">
        <v>100.73216793809662</v>
      </c>
      <c r="E139" s="26">
        <v>0.93039966992742384</v>
      </c>
      <c r="F139" s="20">
        <v>4.2174544072322293</v>
      </c>
      <c r="H139" s="12"/>
    </row>
    <row r="140" spans="1:8" ht="15.6">
      <c r="A140" s="763">
        <v>2020</v>
      </c>
      <c r="B140" s="19">
        <f t="shared" si="9"/>
        <v>102.91239718235751</v>
      </c>
      <c r="C140" s="26">
        <v>1</v>
      </c>
      <c r="D140" s="26">
        <v>102.91239718235751</v>
      </c>
      <c r="E140" s="26">
        <v>0.86973255413218153</v>
      </c>
      <c r="F140" s="20">
        <v>4.3087362452309437</v>
      </c>
      <c r="H140" s="12"/>
    </row>
    <row r="141" spans="1:8" ht="15.6">
      <c r="A141" s="763">
        <v>2021</v>
      </c>
      <c r="B141" s="19">
        <f t="shared" si="9"/>
        <v>97.898586893374684</v>
      </c>
      <c r="C141" s="26">
        <v>1</v>
      </c>
      <c r="D141" s="26">
        <v>97.898586893374684</v>
      </c>
      <c r="E141" s="26">
        <v>1.1964480000000002</v>
      </c>
      <c r="F141" s="20">
        <v>4.0988180360518109</v>
      </c>
      <c r="H141" s="12"/>
    </row>
    <row r="142" spans="1:8" ht="15.6">
      <c r="A142" s="763">
        <v>2022</v>
      </c>
      <c r="B142" s="19">
        <f>D142</f>
        <v>99.070910552039081</v>
      </c>
      <c r="C142" s="26">
        <v>1</v>
      </c>
      <c r="D142" s="26">
        <v>99.070910552039081</v>
      </c>
      <c r="E142" s="26">
        <v>0.92623398237518451</v>
      </c>
      <c r="F142" s="20">
        <v>4.1479008829927722</v>
      </c>
      <c r="H142" s="12"/>
    </row>
    <row r="143" spans="1:8" ht="16.2" thickBot="1">
      <c r="A143" s="809">
        <v>2023</v>
      </c>
      <c r="B143" s="814">
        <f>D143</f>
        <v>97.875219906014337</v>
      </c>
      <c r="C143" s="815">
        <v>1</v>
      </c>
      <c r="D143" s="816">
        <v>97.875219906014337</v>
      </c>
      <c r="E143" s="816">
        <v>0.8640178947101772</v>
      </c>
      <c r="F143" s="817">
        <v>4.0978397070250079</v>
      </c>
      <c r="H143" s="12"/>
    </row>
    <row r="144" spans="1:8" ht="15.6">
      <c r="H144" s="12"/>
    </row>
    <row r="145" spans="1:8" ht="16.2" thickBot="1">
      <c r="H145" s="12"/>
    </row>
    <row r="146" spans="1:8" ht="18" customHeight="1">
      <c r="A146" s="876" t="s">
        <v>634</v>
      </c>
      <c r="B146" s="17" t="s">
        <v>41</v>
      </c>
      <c r="C146" s="867" t="s">
        <v>48</v>
      </c>
      <c r="D146" s="18" t="s">
        <v>41</v>
      </c>
      <c r="E146" s="18" t="s">
        <v>42</v>
      </c>
      <c r="F146" s="15" t="s">
        <v>49</v>
      </c>
      <c r="H146" s="12"/>
    </row>
    <row r="147" spans="1:8" ht="16.2" thickBot="1">
      <c r="A147" s="877"/>
      <c r="B147" s="37" t="s">
        <v>31</v>
      </c>
      <c r="C147" s="868"/>
      <c r="D147" s="27"/>
      <c r="E147" s="27"/>
      <c r="F147" s="28"/>
      <c r="H147" s="12"/>
    </row>
    <row r="148" spans="1:8" ht="15.6">
      <c r="A148" s="761" t="s">
        <v>35</v>
      </c>
      <c r="B148" s="164"/>
      <c r="C148" s="42"/>
      <c r="D148" s="42"/>
      <c r="E148" s="42"/>
      <c r="F148" s="14"/>
      <c r="H148" s="12"/>
    </row>
    <row r="149" spans="1:8" ht="15.6">
      <c r="A149" s="758">
        <v>2015</v>
      </c>
      <c r="B149" s="165">
        <f t="shared" ref="B149:B153" si="10">D149</f>
        <v>86.377055187615269</v>
      </c>
      <c r="C149" s="26">
        <v>1</v>
      </c>
      <c r="D149" s="26">
        <v>86.377055187615269</v>
      </c>
      <c r="E149" s="26">
        <v>1.6565834823828631</v>
      </c>
      <c r="F149" s="20">
        <f t="shared" ref="F149:F153" si="11">D149*4.1868/100</f>
        <v>3.6164345465950758</v>
      </c>
      <c r="H149" s="12"/>
    </row>
    <row r="150" spans="1:8" ht="15.6">
      <c r="A150" s="763">
        <v>2020</v>
      </c>
      <c r="B150" s="19">
        <f t="shared" si="10"/>
        <v>86.664814929906939</v>
      </c>
      <c r="C150" s="26">
        <v>1</v>
      </c>
      <c r="D150" s="26">
        <v>86.664814929906939</v>
      </c>
      <c r="E150" s="26">
        <v>1.6661255191087925</v>
      </c>
      <c r="F150" s="20">
        <f t="shared" si="11"/>
        <v>3.6284824714853436</v>
      </c>
      <c r="H150" s="12"/>
    </row>
    <row r="151" spans="1:8" ht="15.6">
      <c r="A151" s="763">
        <v>2021</v>
      </c>
      <c r="B151" s="19">
        <f t="shared" si="10"/>
        <v>79.606463381660248</v>
      </c>
      <c r="C151" s="26">
        <v>1</v>
      </c>
      <c r="D151" s="26">
        <v>79.606463381660248</v>
      </c>
      <c r="E151" s="26">
        <v>3.1001341823903905</v>
      </c>
      <c r="F151" s="20">
        <f t="shared" si="11"/>
        <v>3.3329634088633511</v>
      </c>
      <c r="H151" s="12"/>
    </row>
    <row r="152" spans="1:8" ht="15.6">
      <c r="A152" s="763">
        <v>2022</v>
      </c>
      <c r="B152" s="19">
        <f t="shared" si="10"/>
        <v>86.887274708443002</v>
      </c>
      <c r="C152" s="26">
        <v>0.99999999999999989</v>
      </c>
      <c r="D152" s="26">
        <v>86.887274708443002</v>
      </c>
      <c r="E152" s="26">
        <v>1.6182324504367496</v>
      </c>
      <c r="F152" s="20">
        <f t="shared" si="11"/>
        <v>3.637796417493091</v>
      </c>
      <c r="H152" s="12"/>
    </row>
    <row r="153" spans="1:8" ht="16.2" thickBot="1">
      <c r="A153" s="809">
        <v>2023</v>
      </c>
      <c r="B153" s="814">
        <f t="shared" si="10"/>
        <v>86.530725030197758</v>
      </c>
      <c r="C153" s="815">
        <v>0.99999999999999989</v>
      </c>
      <c r="D153" s="816">
        <v>86.530725030197758</v>
      </c>
      <c r="E153" s="816">
        <v>1.5530620113739668</v>
      </c>
      <c r="F153" s="817">
        <f t="shared" si="11"/>
        <v>3.6228683955643195</v>
      </c>
      <c r="H153" s="12"/>
    </row>
    <row r="154" spans="1:8" ht="15.6">
      <c r="H154" s="12"/>
    </row>
    <row r="155" spans="1:8" ht="16.2" thickBot="1">
      <c r="H155" s="12"/>
    </row>
    <row r="156" spans="1:8" ht="18">
      <c r="A156" s="756" t="s">
        <v>116</v>
      </c>
      <c r="B156" s="17" t="s">
        <v>41</v>
      </c>
      <c r="C156" s="867" t="s">
        <v>48</v>
      </c>
      <c r="D156" s="18" t="s">
        <v>41</v>
      </c>
      <c r="E156" s="18" t="s">
        <v>42</v>
      </c>
      <c r="F156" s="15" t="s">
        <v>49</v>
      </c>
      <c r="H156" s="12"/>
    </row>
    <row r="157" spans="1:8" ht="16.2" thickBot="1">
      <c r="A157" s="757"/>
      <c r="B157" s="37" t="s">
        <v>31</v>
      </c>
      <c r="C157" s="868"/>
      <c r="D157" s="27"/>
      <c r="E157" s="27"/>
      <c r="F157" s="28"/>
      <c r="H157" s="12"/>
    </row>
    <row r="158" spans="1:8" ht="15.6">
      <c r="A158" s="761" t="s">
        <v>35</v>
      </c>
      <c r="B158" s="16"/>
      <c r="C158" s="42"/>
      <c r="D158" s="42"/>
      <c r="E158" s="42"/>
      <c r="F158" s="14"/>
      <c r="H158" s="12"/>
    </row>
    <row r="159" spans="1:8" ht="15.6">
      <c r="A159" s="758" t="s">
        <v>117</v>
      </c>
      <c r="B159" s="19">
        <v>51.500119443681292</v>
      </c>
      <c r="C159" s="26">
        <v>0.99499999999999988</v>
      </c>
      <c r="D159" s="26">
        <v>51.242618846462882</v>
      </c>
      <c r="E159" s="26">
        <v>2.3646882358076251</v>
      </c>
      <c r="F159" s="20">
        <v>2.1454259658637076</v>
      </c>
      <c r="H159" s="12"/>
    </row>
    <row r="160" spans="1:8" ht="15.6">
      <c r="A160" s="758">
        <v>2010</v>
      </c>
      <c r="B160" s="19">
        <f t="shared" ref="B160:B163" si="12">D160</f>
        <v>50.111980758408684</v>
      </c>
      <c r="C160" s="26">
        <v>0.99580346380588181</v>
      </c>
      <c r="D160" s="26">
        <v>50.111980758408684</v>
      </c>
      <c r="E160" s="26">
        <v>2.2951607175454809</v>
      </c>
      <c r="F160" s="20">
        <v>2.0980884103930548</v>
      </c>
      <c r="H160" s="12"/>
    </row>
    <row r="161" spans="1:8" ht="15.6">
      <c r="A161" s="758">
        <v>2015</v>
      </c>
      <c r="B161" s="19">
        <f t="shared" si="12"/>
        <v>47.829612521401685</v>
      </c>
      <c r="C161" s="26">
        <v>0.99999997350867742</v>
      </c>
      <c r="D161" s="26">
        <v>47.829612521401685</v>
      </c>
      <c r="E161" s="26">
        <v>2.1629348060497242</v>
      </c>
      <c r="F161" s="20">
        <v>2.0025302170460457</v>
      </c>
      <c r="H161" s="12"/>
    </row>
    <row r="162" spans="1:8" ht="15.6">
      <c r="A162" s="763">
        <v>2020</v>
      </c>
      <c r="B162" s="19">
        <f t="shared" si="12"/>
        <v>48.229037793487905</v>
      </c>
      <c r="C162" s="26">
        <v>0.99999999999999989</v>
      </c>
      <c r="D162" s="26">
        <v>48.229037793487905</v>
      </c>
      <c r="E162" s="26">
        <v>2.1892534774143093</v>
      </c>
      <c r="F162" s="20">
        <v>2.0192533543377515</v>
      </c>
      <c r="H162" s="12"/>
    </row>
    <row r="163" spans="1:8" ht="15.6">
      <c r="A163" s="763">
        <v>2021</v>
      </c>
      <c r="B163" s="19">
        <f t="shared" si="12"/>
        <v>47.588841517080532</v>
      </c>
      <c r="C163" s="26">
        <v>0.99999999999999989</v>
      </c>
      <c r="D163" s="26">
        <v>47.588841517080532</v>
      </c>
      <c r="E163" s="26">
        <v>2.2040358324239562</v>
      </c>
      <c r="F163" s="20">
        <v>1.9924496166371277</v>
      </c>
      <c r="H163" s="12"/>
    </row>
    <row r="164" spans="1:8" ht="15.6">
      <c r="A164" s="763">
        <v>2022</v>
      </c>
      <c r="B164" s="19">
        <f>D164</f>
        <v>48.935160924340444</v>
      </c>
      <c r="C164" s="26">
        <v>0.99999999999999967</v>
      </c>
      <c r="D164" s="26">
        <v>48.935160924340444</v>
      </c>
      <c r="E164" s="26">
        <v>2.2156373250447272</v>
      </c>
      <c r="F164" s="20">
        <v>2.0488173175802853</v>
      </c>
      <c r="H164" s="12"/>
    </row>
    <row r="165" spans="1:8" ht="16.2" thickBot="1">
      <c r="A165" s="809">
        <v>2023</v>
      </c>
      <c r="B165" s="814">
        <v>49.736271087485697</v>
      </c>
      <c r="C165" s="815">
        <v>1.0000000000000004</v>
      </c>
      <c r="D165" s="816">
        <v>49.736271087485719</v>
      </c>
      <c r="E165" s="816">
        <v>2.2257595064764018</v>
      </c>
      <c r="F165" s="817">
        <v>2.0823581978908519</v>
      </c>
      <c r="H165" s="12"/>
    </row>
    <row r="166" spans="1:8" ht="15.6">
      <c r="A166" s="760"/>
      <c r="B166" s="25"/>
      <c r="C166" s="26"/>
      <c r="D166" s="26"/>
      <c r="E166" s="26"/>
      <c r="F166" s="26"/>
      <c r="H166" s="12"/>
    </row>
    <row r="167" spans="1:8" ht="16.2" thickBot="1">
      <c r="H167" s="12"/>
    </row>
    <row r="168" spans="1:8" ht="18">
      <c r="A168" s="756" t="s">
        <v>397</v>
      </c>
      <c r="B168" s="17" t="s">
        <v>41</v>
      </c>
      <c r="C168" s="867" t="s">
        <v>48</v>
      </c>
      <c r="D168" s="18" t="s">
        <v>41</v>
      </c>
      <c r="E168" s="18" t="s">
        <v>42</v>
      </c>
      <c r="F168" s="15" t="s">
        <v>49</v>
      </c>
      <c r="H168" s="12"/>
    </row>
    <row r="169" spans="1:8" ht="16.2" thickBot="1">
      <c r="A169" s="757"/>
      <c r="B169" s="37" t="s">
        <v>31</v>
      </c>
      <c r="C169" s="868"/>
      <c r="D169" s="27"/>
      <c r="E169" s="27"/>
      <c r="F169" s="28"/>
      <c r="H169" s="12"/>
    </row>
    <row r="170" spans="1:8" ht="15.6">
      <c r="A170" s="761" t="s">
        <v>35</v>
      </c>
      <c r="B170" s="164"/>
      <c r="C170" s="42"/>
      <c r="D170" s="42"/>
      <c r="E170" s="42"/>
      <c r="F170" s="14"/>
      <c r="H170" s="12"/>
    </row>
    <row r="171" spans="1:8" ht="15.6">
      <c r="A171" s="758" t="s">
        <v>107</v>
      </c>
      <c r="B171" s="165">
        <v>97.5</v>
      </c>
      <c r="C171" s="26">
        <v>1</v>
      </c>
      <c r="D171" s="26">
        <v>97.5</v>
      </c>
      <c r="E171" s="26">
        <v>3.1687499999999993</v>
      </c>
      <c r="F171" s="20">
        <v>4.0821299999999994</v>
      </c>
      <c r="H171" s="12"/>
    </row>
    <row r="172" spans="1:8" ht="15.6">
      <c r="A172" s="758">
        <v>2005</v>
      </c>
      <c r="B172" s="165">
        <v>92.956595395622259</v>
      </c>
      <c r="C172" s="26">
        <v>1</v>
      </c>
      <c r="D172" s="26">
        <v>92.956595395622259</v>
      </c>
      <c r="E172" s="26">
        <v>3.0973003713209457</v>
      </c>
      <c r="F172" s="20">
        <v>3.8919067360239126</v>
      </c>
      <c r="H172" s="12"/>
    </row>
    <row r="173" spans="1:8" ht="15.6">
      <c r="A173" s="758">
        <v>2010</v>
      </c>
      <c r="B173" s="19">
        <f t="shared" ref="B173:B176" si="13">D173</f>
        <v>100.53807027147948</v>
      </c>
      <c r="C173" s="26">
        <v>1</v>
      </c>
      <c r="D173" s="26">
        <v>100.53807027147948</v>
      </c>
      <c r="E173" s="26">
        <v>3.422633084269012</v>
      </c>
      <c r="F173" s="20">
        <v>4.2093279261263028</v>
      </c>
      <c r="H173" s="12"/>
    </row>
    <row r="174" spans="1:8" ht="15.6">
      <c r="A174" s="758">
        <v>2015</v>
      </c>
      <c r="B174" s="19">
        <f t="shared" si="13"/>
        <v>96.771814063545733</v>
      </c>
      <c r="C174" s="26">
        <v>1</v>
      </c>
      <c r="D174" s="26">
        <v>96.771814063545733</v>
      </c>
      <c r="E174" s="26">
        <v>3.4317358691296502</v>
      </c>
      <c r="F174" s="20">
        <v>4.0516423112125324</v>
      </c>
      <c r="H174" s="12"/>
    </row>
    <row r="175" spans="1:8" ht="15.6">
      <c r="A175" s="763">
        <v>2020</v>
      </c>
      <c r="B175" s="19">
        <f t="shared" si="13"/>
        <v>97.082136323969067</v>
      </c>
      <c r="C175" s="26">
        <v>1</v>
      </c>
      <c r="D175" s="26">
        <v>97.082136323969067</v>
      </c>
      <c r="E175" s="26">
        <v>3.4416788810378303</v>
      </c>
      <c r="F175" s="20">
        <v>4.0646348836119373</v>
      </c>
      <c r="H175" s="12"/>
    </row>
    <row r="176" spans="1:8" ht="15.6">
      <c r="A176" s="763">
        <v>2021</v>
      </c>
      <c r="B176" s="19">
        <f t="shared" si="13"/>
        <v>96.53642397681827</v>
      </c>
      <c r="C176" s="26">
        <v>1</v>
      </c>
      <c r="D176" s="26">
        <v>96.53642397681827</v>
      </c>
      <c r="E176" s="26">
        <v>3.4233884141719475</v>
      </c>
      <c r="F176" s="20">
        <v>4.0417869990614266</v>
      </c>
      <c r="H176" s="12"/>
    </row>
    <row r="177" spans="1:8" ht="15.6">
      <c r="A177" s="763">
        <v>2022</v>
      </c>
      <c r="B177" s="19">
        <f>D177</f>
        <v>96.854697597692351</v>
      </c>
      <c r="C177" s="26">
        <v>1</v>
      </c>
      <c r="D177" s="26">
        <v>96.854697597692351</v>
      </c>
      <c r="E177" s="26">
        <v>3.4346750786386013</v>
      </c>
      <c r="F177" s="20">
        <v>4.0551124790201838</v>
      </c>
      <c r="H177" s="12"/>
    </row>
    <row r="178" spans="1:8" ht="16.2" thickBot="1">
      <c r="A178" s="809">
        <v>2023</v>
      </c>
      <c r="B178" s="814">
        <f>D178</f>
        <v>95.672350796353058</v>
      </c>
      <c r="C178" s="815">
        <v>1</v>
      </c>
      <c r="D178" s="816">
        <v>95.672350796353058</v>
      </c>
      <c r="E178" s="816">
        <v>3.3927465279994116</v>
      </c>
      <c r="F178" s="817">
        <v>4.0056099831417091</v>
      </c>
      <c r="H178" s="12"/>
    </row>
    <row r="179" spans="1:8" ht="15.6">
      <c r="H179" s="12"/>
    </row>
    <row r="180" spans="1:8" ht="16.2" thickBot="1">
      <c r="H180" s="12"/>
    </row>
    <row r="181" spans="1:8" ht="18">
      <c r="A181" s="756" t="s">
        <v>470</v>
      </c>
      <c r="B181" s="17" t="s">
        <v>41</v>
      </c>
      <c r="C181" s="867" t="s">
        <v>48</v>
      </c>
      <c r="D181" s="18" t="s">
        <v>41</v>
      </c>
      <c r="E181" s="18" t="s">
        <v>42</v>
      </c>
      <c r="F181" s="15" t="s">
        <v>49</v>
      </c>
      <c r="H181" s="12"/>
    </row>
    <row r="182" spans="1:8" ht="16.2" thickBot="1">
      <c r="A182" s="757"/>
      <c r="B182" s="37" t="s">
        <v>31</v>
      </c>
      <c r="C182" s="868"/>
      <c r="D182" s="27"/>
      <c r="E182" s="27"/>
      <c r="F182" s="28"/>
      <c r="H182" s="12"/>
    </row>
    <row r="183" spans="1:8" ht="15.6">
      <c r="A183" s="761" t="s">
        <v>35</v>
      </c>
      <c r="B183" s="164"/>
      <c r="C183" s="42"/>
      <c r="D183" s="42"/>
      <c r="E183" s="42"/>
      <c r="F183" s="14"/>
      <c r="H183" s="12"/>
    </row>
    <row r="184" spans="1:8" ht="15.6">
      <c r="A184" s="758" t="s">
        <v>469</v>
      </c>
      <c r="B184" s="19">
        <f t="shared" ref="B184:B186" si="14">D184</f>
        <v>48.854533333333343</v>
      </c>
      <c r="C184" s="26">
        <v>1</v>
      </c>
      <c r="D184" s="26">
        <v>48.854533333333343</v>
      </c>
      <c r="E184" s="26">
        <v>0.73281800000000008</v>
      </c>
      <c r="F184" s="20">
        <v>2.0454416016000003</v>
      </c>
      <c r="H184" s="12"/>
    </row>
    <row r="185" spans="1:8" ht="15.6">
      <c r="A185" s="763">
        <v>2020</v>
      </c>
      <c r="B185" s="19">
        <f t="shared" si="14"/>
        <v>44.830616970549087</v>
      </c>
      <c r="C185" s="26">
        <v>1</v>
      </c>
      <c r="D185" s="26">
        <v>44.830616970549087</v>
      </c>
      <c r="E185" s="26">
        <v>1.1015236602632663</v>
      </c>
      <c r="F185" s="20">
        <v>1.8769682713229492</v>
      </c>
      <c r="H185" s="12"/>
    </row>
    <row r="186" spans="1:8" ht="15.6">
      <c r="A186" s="763">
        <v>2021</v>
      </c>
      <c r="B186" s="19">
        <f t="shared" si="14"/>
        <v>46.488718443097788</v>
      </c>
      <c r="C186" s="26">
        <v>1</v>
      </c>
      <c r="D186" s="26">
        <v>46.488718443097788</v>
      </c>
      <c r="E186" s="26">
        <v>1.1689279432406705</v>
      </c>
      <c r="F186" s="20">
        <v>1.9463896637756182</v>
      </c>
      <c r="H186" s="12"/>
    </row>
    <row r="187" spans="1:8" ht="15.6">
      <c r="A187" s="763">
        <v>2022</v>
      </c>
      <c r="B187" s="19">
        <f>D187</f>
        <v>47.673861467305969</v>
      </c>
      <c r="C187" s="26">
        <v>1</v>
      </c>
      <c r="D187" s="26">
        <v>47.673861467305969</v>
      </c>
      <c r="E187" s="26">
        <v>1.1897937357011699</v>
      </c>
      <c r="F187" s="20">
        <v>1.9960092319131661</v>
      </c>
      <c r="H187" s="12"/>
    </row>
    <row r="188" spans="1:8" ht="16.2" thickBot="1">
      <c r="A188" s="809">
        <v>2023</v>
      </c>
      <c r="B188" s="814">
        <f>D188</f>
        <v>47.470575732539722</v>
      </c>
      <c r="C188" s="815">
        <v>1</v>
      </c>
      <c r="D188" s="816">
        <v>47.470575732539722</v>
      </c>
      <c r="E188" s="816">
        <v>1.1862255800770285</v>
      </c>
      <c r="F188" s="817">
        <v>1.9874980647699729</v>
      </c>
      <c r="H188" s="12"/>
    </row>
    <row r="189" spans="1:8" ht="15.6">
      <c r="H189" s="12"/>
    </row>
    <row r="190" spans="1:8" ht="16.2" thickBot="1">
      <c r="H190" s="12"/>
    </row>
    <row r="191" spans="1:8" ht="18">
      <c r="A191" s="756" t="s">
        <v>564</v>
      </c>
      <c r="B191" s="17" t="s">
        <v>41</v>
      </c>
      <c r="C191" s="867" t="s">
        <v>48</v>
      </c>
      <c r="D191" s="18" t="s">
        <v>560</v>
      </c>
      <c r="E191" s="18" t="s">
        <v>561</v>
      </c>
      <c r="F191" s="15" t="s">
        <v>562</v>
      </c>
      <c r="H191" s="12"/>
    </row>
    <row r="192" spans="1:8" ht="16.2" thickBot="1">
      <c r="A192" s="757"/>
      <c r="B192" s="37" t="s">
        <v>31</v>
      </c>
      <c r="C192" s="868"/>
      <c r="D192" s="27"/>
      <c r="E192" s="27"/>
      <c r="F192" s="28"/>
      <c r="H192" s="12"/>
    </row>
    <row r="193" spans="1:8" ht="15.6">
      <c r="A193" s="761" t="s">
        <v>35</v>
      </c>
      <c r="B193" s="754"/>
      <c r="C193" s="751"/>
      <c r="D193" s="752"/>
      <c r="E193" s="752"/>
      <c r="F193" s="753"/>
      <c r="H193" s="12"/>
    </row>
    <row r="194" spans="1:8" ht="15.6">
      <c r="A194" s="758" t="s">
        <v>563</v>
      </c>
      <c r="B194" s="165">
        <f>D194</f>
        <v>79.968000000000004</v>
      </c>
      <c r="C194" s="755">
        <v>1</v>
      </c>
      <c r="D194" s="26">
        <v>79.968000000000004</v>
      </c>
      <c r="E194" s="26">
        <v>1.9244503518524063</v>
      </c>
      <c r="F194" s="20">
        <v>3.348100224</v>
      </c>
      <c r="H194" s="12"/>
    </row>
    <row r="195" spans="1:8" ht="15.6">
      <c r="A195" s="758">
        <v>2015</v>
      </c>
      <c r="B195" s="165">
        <f t="shared" ref="B195:B198" si="15">D195</f>
        <v>78.975999999999999</v>
      </c>
      <c r="C195" s="755">
        <v>1</v>
      </c>
      <c r="D195" s="26">
        <v>78.975999999999999</v>
      </c>
      <c r="E195" s="26">
        <v>1.9875228889055208</v>
      </c>
      <c r="F195" s="20">
        <v>3.3065671679999995</v>
      </c>
      <c r="H195" s="12"/>
    </row>
    <row r="196" spans="1:8" ht="15.6">
      <c r="A196" s="758">
        <v>2020</v>
      </c>
      <c r="B196" s="165">
        <f t="shared" si="15"/>
        <v>79.915000000000006</v>
      </c>
      <c r="C196" s="755">
        <v>1</v>
      </c>
      <c r="D196" s="26">
        <v>79.915000000000006</v>
      </c>
      <c r="E196" s="26">
        <v>2.0697119496228158</v>
      </c>
      <c r="F196" s="20">
        <v>3.3458812199999999</v>
      </c>
      <c r="H196" s="12"/>
    </row>
    <row r="197" spans="1:8" ht="15.6">
      <c r="A197" s="758">
        <v>2021</v>
      </c>
      <c r="B197" s="165">
        <f t="shared" si="15"/>
        <v>81.472999999999999</v>
      </c>
      <c r="C197" s="755">
        <v>1</v>
      </c>
      <c r="D197" s="26">
        <v>81.472999999999999</v>
      </c>
      <c r="E197" s="26">
        <v>2.0273555164117889</v>
      </c>
      <c r="F197" s="20">
        <v>3.4111115639999996</v>
      </c>
      <c r="H197" s="12"/>
    </row>
    <row r="198" spans="1:8" ht="15.6">
      <c r="A198" s="758">
        <v>2022</v>
      </c>
      <c r="B198" s="165">
        <f t="shared" si="15"/>
        <v>81.504000000000005</v>
      </c>
      <c r="C198" s="755">
        <v>1</v>
      </c>
      <c r="D198" s="26">
        <v>81.504000000000005</v>
      </c>
      <c r="E198" s="26">
        <v>2.0543817217570144</v>
      </c>
      <c r="F198" s="20">
        <v>3.4124094719999998</v>
      </c>
      <c r="H198" s="12"/>
    </row>
    <row r="199" spans="1:8" ht="16.2" thickBot="1">
      <c r="A199" s="809">
        <v>2023</v>
      </c>
      <c r="B199" s="841">
        <v>81.72076749652021</v>
      </c>
      <c r="C199" s="842">
        <v>1</v>
      </c>
      <c r="D199" s="816">
        <v>81.72076749652021</v>
      </c>
      <c r="E199" s="816">
        <v>2.0141095765129799</v>
      </c>
      <c r="F199" s="817">
        <v>3.421485093544308</v>
      </c>
      <c r="H199" s="12"/>
    </row>
    <row r="200" spans="1:8" ht="15.6">
      <c r="H200" s="12"/>
    </row>
    <row r="201" spans="1:8" ht="16.2" thickBot="1">
      <c r="H201" s="12"/>
    </row>
    <row r="202" spans="1:8" ht="18">
      <c r="A202" s="756" t="s">
        <v>586</v>
      </c>
      <c r="B202" s="17" t="s">
        <v>41</v>
      </c>
      <c r="C202" s="867" t="s">
        <v>48</v>
      </c>
      <c r="D202" s="18" t="s">
        <v>560</v>
      </c>
      <c r="E202" s="18" t="s">
        <v>561</v>
      </c>
      <c r="F202" s="15" t="s">
        <v>562</v>
      </c>
      <c r="H202" s="12"/>
    </row>
    <row r="203" spans="1:8" ht="16.2" thickBot="1">
      <c r="A203" s="757"/>
      <c r="B203" s="37" t="s">
        <v>31</v>
      </c>
      <c r="C203" s="868"/>
      <c r="D203" s="27"/>
      <c r="E203" s="27"/>
      <c r="F203" s="28"/>
      <c r="H203" s="12"/>
    </row>
    <row r="204" spans="1:8" ht="15.6">
      <c r="A204" s="761" t="s">
        <v>35</v>
      </c>
      <c r="B204" s="754"/>
      <c r="C204" s="752"/>
      <c r="D204" s="752"/>
      <c r="E204" s="752"/>
      <c r="F204" s="753"/>
      <c r="H204" s="12"/>
    </row>
    <row r="205" spans="1:8" ht="15.6">
      <c r="A205" s="758">
        <v>1990</v>
      </c>
      <c r="B205" s="165">
        <f>D205</f>
        <v>57.61863766097008</v>
      </c>
      <c r="C205" s="26">
        <v>1</v>
      </c>
      <c r="D205" s="26">
        <v>57.61863766097008</v>
      </c>
      <c r="E205" s="26">
        <v>0.58146864686831801</v>
      </c>
      <c r="F205" s="20">
        <v>2.4123771215894951</v>
      </c>
      <c r="H205" s="12"/>
    </row>
    <row r="206" spans="1:8" ht="15.6">
      <c r="A206" s="758">
        <v>1995</v>
      </c>
      <c r="B206" s="165">
        <f t="shared" ref="B206:B214" si="16">D206</f>
        <v>51.064227605955935</v>
      </c>
      <c r="C206" s="26">
        <v>1</v>
      </c>
      <c r="D206" s="26">
        <v>51.064227605955935</v>
      </c>
      <c r="E206" s="26">
        <v>0.51249078380061441</v>
      </c>
      <c r="F206" s="20">
        <v>2.1379570814061633</v>
      </c>
      <c r="H206" s="12"/>
    </row>
    <row r="207" spans="1:8" ht="15.6">
      <c r="A207" s="758">
        <v>2000</v>
      </c>
      <c r="B207" s="165">
        <f t="shared" si="16"/>
        <v>48.705578790275474</v>
      </c>
      <c r="C207" s="26">
        <v>1</v>
      </c>
      <c r="D207" s="26">
        <v>48.705578790275474</v>
      </c>
      <c r="E207" s="26">
        <v>0.48764141608898381</v>
      </c>
      <c r="F207" s="20">
        <v>2.0392051727912537</v>
      </c>
      <c r="H207" s="12"/>
    </row>
    <row r="208" spans="1:8" ht="15.6">
      <c r="A208" s="758">
        <v>2005</v>
      </c>
      <c r="B208" s="165">
        <f t="shared" si="16"/>
        <v>48.985861297406004</v>
      </c>
      <c r="C208" s="26">
        <v>1</v>
      </c>
      <c r="D208" s="26">
        <v>48.985861297406004</v>
      </c>
      <c r="E208" s="26">
        <v>0.59298570130028938</v>
      </c>
      <c r="F208" s="20">
        <v>2.0509400407997944</v>
      </c>
      <c r="H208" s="12"/>
    </row>
    <row r="209" spans="1:8" ht="15.6">
      <c r="A209" s="758">
        <v>2010</v>
      </c>
      <c r="B209" s="165">
        <f t="shared" si="16"/>
        <v>62.847065837061187</v>
      </c>
      <c r="C209" s="26">
        <v>1</v>
      </c>
      <c r="D209" s="26">
        <v>62.847065837061187</v>
      </c>
      <c r="E209" s="26">
        <v>0.73829761074386613</v>
      </c>
      <c r="F209" s="20">
        <v>2.6312809524660774</v>
      </c>
      <c r="H209" s="12"/>
    </row>
    <row r="210" spans="1:8" ht="15.6">
      <c r="A210" s="758">
        <v>2015</v>
      </c>
      <c r="B210" s="165">
        <f t="shared" si="16"/>
        <v>63.988861492869503</v>
      </c>
      <c r="C210" s="26">
        <v>1</v>
      </c>
      <c r="D210" s="26">
        <v>63.988861492869503</v>
      </c>
      <c r="E210" s="26">
        <v>0.73699374229035031</v>
      </c>
      <c r="F210" s="20">
        <v>2.6790856529834604</v>
      </c>
      <c r="H210" s="12"/>
    </row>
    <row r="211" spans="1:8" ht="15.6">
      <c r="A211" s="758">
        <v>2020</v>
      </c>
      <c r="B211" s="165">
        <f t="shared" si="16"/>
        <v>68.39459581186307</v>
      </c>
      <c r="C211" s="26">
        <v>1</v>
      </c>
      <c r="D211" s="26">
        <v>68.39459581186307</v>
      </c>
      <c r="E211" s="26">
        <v>0.7821855462840116</v>
      </c>
      <c r="F211" s="20">
        <v>2.8635449374510831</v>
      </c>
      <c r="H211" s="12"/>
    </row>
    <row r="212" spans="1:8" ht="15.6">
      <c r="A212" s="758">
        <v>2021</v>
      </c>
      <c r="B212" s="165">
        <f t="shared" si="16"/>
        <v>67.828700826680873</v>
      </c>
      <c r="C212" s="26">
        <v>1</v>
      </c>
      <c r="D212" s="26">
        <v>67.828700826680873</v>
      </c>
      <c r="E212" s="26">
        <v>0.77243116514190813</v>
      </c>
      <c r="F212" s="20">
        <v>2.8398520462114747</v>
      </c>
      <c r="H212" s="12"/>
    </row>
    <row r="213" spans="1:8" ht="15.6">
      <c r="A213" s="758">
        <v>2022</v>
      </c>
      <c r="B213" s="165">
        <f>D213</f>
        <v>68.503188222129225</v>
      </c>
      <c r="C213" s="26">
        <v>1</v>
      </c>
      <c r="D213" s="26">
        <v>68.503188222129225</v>
      </c>
      <c r="E213" s="26">
        <v>0.77216401349591857</v>
      </c>
      <c r="F213" s="20">
        <v>2.8680914844841059</v>
      </c>
      <c r="H213" s="12"/>
    </row>
    <row r="214" spans="1:8" ht="16.2" thickBot="1">
      <c r="A214" s="809">
        <v>2023</v>
      </c>
      <c r="B214" s="841">
        <f t="shared" si="16"/>
        <v>68.952619413867268</v>
      </c>
      <c r="C214" s="815">
        <v>1</v>
      </c>
      <c r="D214" s="816">
        <v>68.952619413867268</v>
      </c>
      <c r="E214" s="816">
        <v>0.7771744682408448</v>
      </c>
      <c r="F214" s="817">
        <v>2.8869082696197945</v>
      </c>
      <c r="H214" s="12"/>
    </row>
    <row r="216" spans="1:8" ht="15" thickBot="1"/>
    <row r="217" spans="1:8" ht="18">
      <c r="A217" s="756" t="s">
        <v>649</v>
      </c>
      <c r="B217" s="17" t="s">
        <v>41</v>
      </c>
      <c r="C217" s="867" t="s">
        <v>48</v>
      </c>
      <c r="D217" s="18" t="s">
        <v>560</v>
      </c>
      <c r="E217" s="18" t="s">
        <v>561</v>
      </c>
      <c r="F217" s="15" t="s">
        <v>562</v>
      </c>
    </row>
    <row r="218" spans="1:8" ht="16.2" thickBot="1">
      <c r="A218" s="757" t="s">
        <v>650</v>
      </c>
      <c r="B218" s="37" t="s">
        <v>31</v>
      </c>
      <c r="C218" s="868"/>
      <c r="D218" s="27"/>
      <c r="E218" s="27"/>
      <c r="F218" s="28"/>
    </row>
    <row r="219" spans="1:8" ht="15.6">
      <c r="A219" s="758" t="s">
        <v>299</v>
      </c>
      <c r="B219" s="165">
        <f>D219</f>
        <v>101</v>
      </c>
      <c r="C219" s="26">
        <v>1</v>
      </c>
      <c r="D219" s="26">
        <v>101</v>
      </c>
      <c r="E219" s="26">
        <v>1.202</v>
      </c>
      <c r="F219" s="20">
        <v>4.2290000000000001</v>
      </c>
    </row>
    <row r="220" spans="1:8" ht="15.6">
      <c r="A220" s="758" t="s">
        <v>613</v>
      </c>
      <c r="B220" s="165">
        <f t="shared" ref="B220:B224" si="17">D220</f>
        <v>69.3</v>
      </c>
      <c r="C220" s="26">
        <v>1</v>
      </c>
      <c r="D220" s="26">
        <v>69.3</v>
      </c>
      <c r="E220" s="26">
        <v>3.07</v>
      </c>
      <c r="F220" s="20">
        <v>2.9009999999999998</v>
      </c>
    </row>
    <row r="221" spans="1:8" ht="15.6">
      <c r="A221" s="758" t="s">
        <v>651</v>
      </c>
      <c r="B221" s="165">
        <f t="shared" si="17"/>
        <v>63.1</v>
      </c>
      <c r="C221" s="26">
        <v>1</v>
      </c>
      <c r="D221" s="26">
        <v>63.1</v>
      </c>
      <c r="E221" s="26">
        <v>2.9849999999999999</v>
      </c>
      <c r="F221" s="20">
        <v>2.6419999999999999</v>
      </c>
    </row>
    <row r="222" spans="1:8" ht="15.6">
      <c r="A222" s="758" t="s">
        <v>306</v>
      </c>
      <c r="B222" s="165">
        <f t="shared" si="17"/>
        <v>74.099999999999994</v>
      </c>
      <c r="C222" s="26">
        <v>1</v>
      </c>
      <c r="D222" s="26">
        <v>74.099999999999994</v>
      </c>
      <c r="E222" s="26">
        <v>3.1859999999999999</v>
      </c>
      <c r="F222" s="20">
        <v>3.1019999999999999</v>
      </c>
    </row>
    <row r="223" spans="1:8" ht="15.6">
      <c r="A223" s="758" t="s">
        <v>652</v>
      </c>
      <c r="B223" s="165">
        <f t="shared" si="17"/>
        <v>73.3</v>
      </c>
      <c r="C223" s="26">
        <v>1</v>
      </c>
      <c r="D223" s="26">
        <v>73.3</v>
      </c>
      <c r="E223" s="26">
        <v>3.262</v>
      </c>
      <c r="F223" s="20">
        <v>3.069</v>
      </c>
    </row>
    <row r="224" spans="1:8" ht="16.2" thickBot="1">
      <c r="A224" s="809" t="s">
        <v>653</v>
      </c>
      <c r="B224" s="841">
        <f t="shared" si="17"/>
        <v>71.5</v>
      </c>
      <c r="C224" s="815">
        <v>1</v>
      </c>
      <c r="D224" s="816">
        <v>71.5</v>
      </c>
      <c r="E224" s="816">
        <v>3.153</v>
      </c>
      <c r="F224" s="817">
        <v>2.9940000000000002</v>
      </c>
    </row>
  </sheetData>
  <mergeCells count="28">
    <mergeCell ref="A146:A147"/>
    <mergeCell ref="C168:C169"/>
    <mergeCell ref="C122:C123"/>
    <mergeCell ref="C202:C203"/>
    <mergeCell ref="C191:C192"/>
    <mergeCell ref="C181:C182"/>
    <mergeCell ref="C146:C147"/>
    <mergeCell ref="A3:F3"/>
    <mergeCell ref="C4:C5"/>
    <mergeCell ref="C29:C30"/>
    <mergeCell ref="C49:C50"/>
    <mergeCell ref="A4:A5"/>
    <mergeCell ref="A29:A30"/>
    <mergeCell ref="D30:F30"/>
    <mergeCell ref="D50:F50"/>
    <mergeCell ref="D5:F5"/>
    <mergeCell ref="C217:C218"/>
    <mergeCell ref="D123:F123"/>
    <mergeCell ref="C134:C135"/>
    <mergeCell ref="C156:C157"/>
    <mergeCell ref="D69:F69"/>
    <mergeCell ref="D82:F82"/>
    <mergeCell ref="D96:F96"/>
    <mergeCell ref="D110:F110"/>
    <mergeCell ref="C68:C69"/>
    <mergeCell ref="C81:C82"/>
    <mergeCell ref="C95:C96"/>
    <mergeCell ref="C109:C110"/>
  </mergeCells>
  <hyperlinks>
    <hyperlink ref="A1" location="Indice!A1" display="Torna indietro"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3"/>
  <dimension ref="A1:AS53"/>
  <sheetViews>
    <sheetView showGridLines="0" zoomScale="85" zoomScaleNormal="85" workbookViewId="0">
      <selection activeCell="O30" sqref="O30"/>
    </sheetView>
  </sheetViews>
  <sheetFormatPr defaultColWidth="9.21875" defaultRowHeight="13.8"/>
  <cols>
    <col min="1" max="1" width="28.21875" style="44" customWidth="1"/>
    <col min="2" max="2" width="8.21875" style="44" customWidth="1"/>
    <col min="3" max="6" width="0.21875" style="44" customWidth="1"/>
    <col min="7" max="7" width="8.21875" style="44" customWidth="1"/>
    <col min="8" max="11" width="0.21875" style="44" customWidth="1"/>
    <col min="12" max="12" width="8.21875" style="44" customWidth="1"/>
    <col min="13" max="16" width="0.21875" style="44" customWidth="1"/>
    <col min="17" max="17" width="8.21875" style="44" customWidth="1"/>
    <col min="18" max="21" width="0.21875" style="44" customWidth="1"/>
    <col min="22" max="22" width="8.21875" style="44" customWidth="1"/>
    <col min="23" max="26" width="0.109375" style="44" customWidth="1"/>
    <col min="27" max="33" width="8.21875" style="44" customWidth="1"/>
    <col min="34" max="35" width="7.33203125" style="44" customWidth="1"/>
    <col min="36" max="36" width="8.21875" style="44" customWidth="1"/>
    <col min="37" max="16384" width="9.21875" style="44"/>
  </cols>
  <sheetData>
    <row r="1" spans="1:45" ht="15.6">
      <c r="A1" s="608" t="s">
        <v>57</v>
      </c>
      <c r="B1" s="608"/>
    </row>
    <row r="2" spans="1:45">
      <c r="AG2" s="312"/>
      <c r="AH2" s="312"/>
      <c r="AI2" s="312"/>
    </row>
    <row r="3" spans="1:45" s="70" customFormat="1" ht="18">
      <c r="A3" s="47" t="s">
        <v>622</v>
      </c>
    </row>
    <row r="4" spans="1:45" s="70" customFormat="1" ht="14.4">
      <c r="A4" s="878" t="s">
        <v>11</v>
      </c>
      <c r="B4" s="806">
        <v>1990</v>
      </c>
      <c r="C4" s="806">
        <v>1991</v>
      </c>
      <c r="D4" s="806">
        <v>1992</v>
      </c>
      <c r="E4" s="806">
        <v>1993</v>
      </c>
      <c r="F4" s="806">
        <v>1994</v>
      </c>
      <c r="G4" s="806">
        <v>1995</v>
      </c>
      <c r="H4" s="806">
        <v>1996</v>
      </c>
      <c r="I4" s="806">
        <v>1997</v>
      </c>
      <c r="J4" s="806">
        <v>1998</v>
      </c>
      <c r="K4" s="806">
        <v>1999</v>
      </c>
      <c r="L4" s="806">
        <v>2000</v>
      </c>
      <c r="M4" s="806">
        <v>2001</v>
      </c>
      <c r="N4" s="806">
        <v>2002</v>
      </c>
      <c r="O4" s="806">
        <v>2003</v>
      </c>
      <c r="P4" s="806">
        <v>2004</v>
      </c>
      <c r="Q4" s="806">
        <v>2005</v>
      </c>
      <c r="R4" s="806">
        <v>2006</v>
      </c>
      <c r="S4" s="806">
        <v>2007</v>
      </c>
      <c r="T4" s="806">
        <v>2008</v>
      </c>
      <c r="U4" s="806">
        <v>2009</v>
      </c>
      <c r="V4" s="806">
        <v>2010</v>
      </c>
      <c r="W4" s="806">
        <v>2011</v>
      </c>
      <c r="X4" s="806">
        <v>2012</v>
      </c>
      <c r="Y4" s="806">
        <v>2013</v>
      </c>
      <c r="Z4" s="807">
        <v>2014</v>
      </c>
      <c r="AA4" s="807">
        <v>2015</v>
      </c>
      <c r="AB4" s="807">
        <v>2016</v>
      </c>
      <c r="AC4" s="807">
        <v>2017</v>
      </c>
      <c r="AD4" s="807">
        <v>2018</v>
      </c>
      <c r="AE4" s="807">
        <v>2019</v>
      </c>
      <c r="AF4" s="807">
        <v>2020</v>
      </c>
      <c r="AG4" s="807">
        <v>2021</v>
      </c>
      <c r="AH4" s="807">
        <v>2022</v>
      </c>
      <c r="AI4" s="807">
        <v>2023</v>
      </c>
      <c r="AJ4" s="808" t="s">
        <v>597</v>
      </c>
    </row>
    <row r="5" spans="1:45" s="70" customFormat="1" ht="16.2">
      <c r="A5" s="879"/>
      <c r="B5" s="77" t="s">
        <v>93</v>
      </c>
      <c r="C5" s="78"/>
      <c r="D5" s="78"/>
      <c r="E5" s="78"/>
      <c r="F5" s="78"/>
      <c r="G5" s="78"/>
      <c r="H5" s="78"/>
      <c r="I5" s="78"/>
      <c r="J5" s="78"/>
      <c r="K5" s="78"/>
      <c r="L5" s="78"/>
      <c r="M5" s="78"/>
      <c r="N5" s="78"/>
      <c r="O5" s="78"/>
      <c r="P5" s="78"/>
      <c r="Q5" s="78"/>
      <c r="R5" s="78"/>
      <c r="S5" s="78"/>
      <c r="T5" s="78"/>
      <c r="U5" s="78"/>
      <c r="V5" s="78"/>
      <c r="W5" s="78"/>
      <c r="X5" s="78"/>
      <c r="Y5" s="78"/>
      <c r="Z5" s="137"/>
      <c r="AA5" s="137"/>
      <c r="AB5" s="137"/>
      <c r="AC5" s="137"/>
      <c r="AD5" s="137"/>
      <c r="AE5" s="137"/>
      <c r="AF5" s="137"/>
      <c r="AG5" s="137"/>
      <c r="AH5" s="137"/>
      <c r="AI5" s="137"/>
      <c r="AJ5" s="294"/>
    </row>
    <row r="6" spans="1:45" s="70" customFormat="1" ht="15.6">
      <c r="A6" s="79" t="s">
        <v>5</v>
      </c>
      <c r="B6" s="185">
        <v>28.102350947760765</v>
      </c>
      <c r="C6" s="185">
        <v>25.115948003604856</v>
      </c>
      <c r="D6" s="185">
        <v>18.839031409633201</v>
      </c>
      <c r="E6" s="185">
        <v>14.499701436399942</v>
      </c>
      <c r="F6" s="185">
        <v>17.30152174158804</v>
      </c>
      <c r="G6" s="185">
        <v>20.822393634109179</v>
      </c>
      <c r="H6" s="185">
        <v>19.082949692268567</v>
      </c>
      <c r="I6" s="185">
        <v>17.795919141412384</v>
      </c>
      <c r="J6" s="185">
        <v>20.297914937391326</v>
      </c>
      <c r="K6" s="185">
        <v>20.489019815571449</v>
      </c>
      <c r="L6" s="185">
        <v>22.384032967862424</v>
      </c>
      <c r="M6" s="185">
        <v>28.177316945463815</v>
      </c>
      <c r="N6" s="185">
        <v>32.157799137451505</v>
      </c>
      <c r="O6" s="185">
        <v>35.28169446024318</v>
      </c>
      <c r="P6" s="185">
        <v>42.172767001528385</v>
      </c>
      <c r="Q6" s="185">
        <v>40.111822390422297</v>
      </c>
      <c r="R6" s="185">
        <v>39.723700330551623</v>
      </c>
      <c r="S6" s="185">
        <v>40.653922288290268</v>
      </c>
      <c r="T6" s="185">
        <v>40.26483755379062</v>
      </c>
      <c r="U6" s="185">
        <v>36.184012666269503</v>
      </c>
      <c r="V6" s="185">
        <v>35.34256446266604</v>
      </c>
      <c r="W6" s="185">
        <v>39.076869184355623</v>
      </c>
      <c r="X6" s="185">
        <v>42.382151636804494</v>
      </c>
      <c r="Y6" s="185">
        <v>39.586028317251653</v>
      </c>
      <c r="Z6" s="185">
        <v>38.085186269103723</v>
      </c>
      <c r="AA6" s="185">
        <v>38.871398651161101</v>
      </c>
      <c r="AB6" s="185">
        <v>31.884163036552653</v>
      </c>
      <c r="AC6" s="185">
        <v>28.38714555801495</v>
      </c>
      <c r="AD6" s="185">
        <v>25.1803201936617</v>
      </c>
      <c r="AE6" s="185">
        <v>17.122744226919842</v>
      </c>
      <c r="AF6" s="185">
        <v>12.405216282696305</v>
      </c>
      <c r="AG6" s="185">
        <v>13.10731286870373</v>
      </c>
      <c r="AH6" s="185">
        <v>21.07648523858181</v>
      </c>
      <c r="AI6" s="185">
        <v>12.1242417899877</v>
      </c>
      <c r="AJ6" s="295">
        <v>3.512024900077237</v>
      </c>
      <c r="AK6" s="559"/>
      <c r="AL6" s="430"/>
      <c r="AM6" s="430"/>
      <c r="AN6" s="559"/>
      <c r="AO6" s="559"/>
      <c r="AP6" s="559"/>
      <c r="AQ6" s="559"/>
      <c r="AR6" s="559"/>
      <c r="AS6" s="559"/>
    </row>
    <row r="7" spans="1:45" s="70" customFormat="1" ht="15.6">
      <c r="A7" s="79" t="s">
        <v>643</v>
      </c>
      <c r="B7" s="185">
        <v>21.242487420593115</v>
      </c>
      <c r="C7" s="185">
        <v>19.600765238656457</v>
      </c>
      <c r="D7" s="185">
        <v>18.924255907078216</v>
      </c>
      <c r="E7" s="185">
        <v>21.248079019972074</v>
      </c>
      <c r="F7" s="185">
        <v>21.206571386281201</v>
      </c>
      <c r="G7" s="185">
        <v>24.630156246881619</v>
      </c>
      <c r="H7" s="185">
        <v>25.885077286082339</v>
      </c>
      <c r="I7" s="185">
        <v>30.706597926452027</v>
      </c>
      <c r="J7" s="185">
        <v>35.899578758149254</v>
      </c>
      <c r="K7" s="185">
        <v>43.633913479009514</v>
      </c>
      <c r="L7" s="185">
        <v>49.269990969722116</v>
      </c>
      <c r="M7" s="185">
        <v>47.989108428844268</v>
      </c>
      <c r="N7" s="185">
        <v>48.874768809365108</v>
      </c>
      <c r="O7" s="185">
        <v>50.174591982184843</v>
      </c>
      <c r="P7" s="185">
        <v>52.878355207861127</v>
      </c>
      <c r="Q7" s="185">
        <v>59.783480941253956</v>
      </c>
      <c r="R7" s="185">
        <v>61.615994999947432</v>
      </c>
      <c r="S7" s="185">
        <v>66.859691623109114</v>
      </c>
      <c r="T7" s="185">
        <v>67.608881163997097</v>
      </c>
      <c r="U7" s="185">
        <v>57.633861722086223</v>
      </c>
      <c r="V7" s="185">
        <v>59.724873040131122</v>
      </c>
      <c r="W7" s="185">
        <v>55.555410572769297</v>
      </c>
      <c r="X7" s="185">
        <v>50.047231117097439</v>
      </c>
      <c r="Y7" s="185">
        <v>40.587279958081027</v>
      </c>
      <c r="Z7" s="185">
        <v>35.25052820230259</v>
      </c>
      <c r="AA7" s="185">
        <v>40.742905626331918</v>
      </c>
      <c r="AB7" s="185">
        <v>46.717010803993418</v>
      </c>
      <c r="AC7" s="185">
        <v>52.032323664057976</v>
      </c>
      <c r="AD7" s="185">
        <v>47.472523721374301</v>
      </c>
      <c r="AE7" s="185">
        <v>52.34922470641952</v>
      </c>
      <c r="AF7" s="185">
        <v>49.686258773904321</v>
      </c>
      <c r="AG7" s="185">
        <v>53.657231102873723</v>
      </c>
      <c r="AH7" s="185">
        <v>52.278182892680015</v>
      </c>
      <c r="AI7" s="185">
        <v>44.232675957156964</v>
      </c>
      <c r="AJ7" s="295">
        <v>45.585161153282179</v>
      </c>
    </row>
    <row r="8" spans="1:45" s="70" customFormat="1" ht="15.6">
      <c r="A8" s="79" t="s">
        <v>7</v>
      </c>
      <c r="B8" s="185">
        <v>6.7478123889999999</v>
      </c>
      <c r="C8" s="185">
        <v>6.5197966649999994</v>
      </c>
      <c r="D8" s="185">
        <v>6.213643832999999</v>
      </c>
      <c r="E8" s="185">
        <v>5.9076571639999997</v>
      </c>
      <c r="F8" s="185">
        <v>5.4052594300000001</v>
      </c>
      <c r="G8" s="185">
        <v>6.3949679359999996</v>
      </c>
      <c r="H8" s="185">
        <v>6.0890504390000002</v>
      </c>
      <c r="I8" s="185">
        <v>7.1264215849999992</v>
      </c>
      <c r="J8" s="185">
        <v>8.3011012400000013</v>
      </c>
      <c r="K8" s="185">
        <v>7.1078100869999998</v>
      </c>
      <c r="L8" s="185">
        <v>6.370664798</v>
      </c>
      <c r="M8" s="185">
        <v>6.9489296380000001</v>
      </c>
      <c r="N8" s="185">
        <v>6.9838866389999996</v>
      </c>
      <c r="O8" s="185">
        <v>6.7547838880000004</v>
      </c>
      <c r="P8" s="185">
        <v>9.8076890291039991</v>
      </c>
      <c r="Q8" s="185">
        <v>11.081617918938958</v>
      </c>
      <c r="R8" s="185">
        <v>11.630296792419553</v>
      </c>
      <c r="S8" s="185">
        <v>10.091444575946202</v>
      </c>
      <c r="T8" s="185">
        <v>9.3271714038303521</v>
      </c>
      <c r="U8" s="185">
        <v>5.9474765076595615</v>
      </c>
      <c r="V8" s="185">
        <v>7.8242134788818545</v>
      </c>
      <c r="W8" s="185">
        <v>8.8231004431216782</v>
      </c>
      <c r="X8" s="185">
        <v>7.4342093892077674</v>
      </c>
      <c r="Y8" s="185">
        <v>5.4444082832928791</v>
      </c>
      <c r="Z8" s="185">
        <v>5.5066465035843608</v>
      </c>
      <c r="AA8" s="185">
        <v>3.55397082224912</v>
      </c>
      <c r="AB8" s="185">
        <v>4.5852635081309767</v>
      </c>
      <c r="AC8" s="185">
        <v>3.6990794078189819</v>
      </c>
      <c r="AD8" s="185">
        <v>4.1045788662784517</v>
      </c>
      <c r="AE8" s="185">
        <v>3.4136235939650827</v>
      </c>
      <c r="AF8" s="185">
        <v>2.2995787937277208</v>
      </c>
      <c r="AG8" s="185">
        <v>3.3416432316865419</v>
      </c>
      <c r="AH8" s="185">
        <v>2.5479944369668792</v>
      </c>
      <c r="AI8" s="185">
        <v>1.5992005289111635</v>
      </c>
      <c r="AJ8" s="295">
        <v>1.5192556992385358</v>
      </c>
    </row>
    <row r="9" spans="1:45" s="70" customFormat="1" ht="15.6">
      <c r="A9" s="79" t="s">
        <v>8</v>
      </c>
      <c r="B9" s="185">
        <v>70.205173519114126</v>
      </c>
      <c r="C9" s="185">
        <v>71.203431898516541</v>
      </c>
      <c r="D9" s="185">
        <v>78.524376173966772</v>
      </c>
      <c r="E9" s="185">
        <v>76.878911314959467</v>
      </c>
      <c r="F9" s="185">
        <v>78.34682124362206</v>
      </c>
      <c r="G9" s="185">
        <v>81.414688695924241</v>
      </c>
      <c r="H9" s="185">
        <v>79.111571776786789</v>
      </c>
      <c r="I9" s="185">
        <v>76.6719702934964</v>
      </c>
      <c r="J9" s="185">
        <v>72.437092441426458</v>
      </c>
      <c r="K9" s="185">
        <v>62.342090628316662</v>
      </c>
      <c r="L9" s="185">
        <v>61.229907145854121</v>
      </c>
      <c r="M9" s="185">
        <v>54.218004125677631</v>
      </c>
      <c r="N9" s="185">
        <v>59.719275043233225</v>
      </c>
      <c r="O9" s="185">
        <v>52.261533677588602</v>
      </c>
      <c r="P9" s="185">
        <v>40.113089116554981</v>
      </c>
      <c r="Q9" s="185">
        <v>31.814325438112569</v>
      </c>
      <c r="R9" s="185">
        <v>32.334497450509311</v>
      </c>
      <c r="S9" s="185">
        <v>25.223947422953771</v>
      </c>
      <c r="T9" s="185">
        <v>21.942440671252161</v>
      </c>
      <c r="U9" s="185">
        <v>17.296219905960523</v>
      </c>
      <c r="V9" s="185">
        <v>15.007340000056022</v>
      </c>
      <c r="W9" s="185">
        <v>12.353562039059558</v>
      </c>
      <c r="X9" s="185">
        <v>12.046696176524232</v>
      </c>
      <c r="Y9" s="185">
        <v>8.7490243325975428</v>
      </c>
      <c r="Z9" s="185">
        <v>8.2664817810035274</v>
      </c>
      <c r="AA9" s="185">
        <v>7.519529389355851</v>
      </c>
      <c r="AB9" s="185">
        <v>6.6426737487592353</v>
      </c>
      <c r="AC9" s="185">
        <v>6.3050826228085537</v>
      </c>
      <c r="AD9" s="185">
        <v>5.9909716126949828</v>
      </c>
      <c r="AE9" s="185">
        <v>5.4343841403173601</v>
      </c>
      <c r="AF9" s="185">
        <v>5.1918742296200167</v>
      </c>
      <c r="AG9" s="185">
        <v>4.0385679836384512</v>
      </c>
      <c r="AH9" s="185">
        <v>6.9016956233217082</v>
      </c>
      <c r="AI9" s="185">
        <v>5.4827105799392024</v>
      </c>
      <c r="AJ9" s="295">
        <v>4.0389200771565124</v>
      </c>
    </row>
    <row r="10" spans="1:45" s="70" customFormat="1" ht="15.6">
      <c r="A10" s="79" t="s">
        <v>9</v>
      </c>
      <c r="B10" s="185">
        <v>0.10554852973068349</v>
      </c>
      <c r="C10" s="185">
        <v>0.13106668988394637</v>
      </c>
      <c r="D10" s="185">
        <v>0.10489531940532766</v>
      </c>
      <c r="E10" s="185">
        <v>0.10546174275810015</v>
      </c>
      <c r="F10" s="185">
        <v>0.12857069289394271</v>
      </c>
      <c r="G10" s="185">
        <v>0.18354490279107072</v>
      </c>
      <c r="H10" s="185">
        <v>0.22264219145727709</v>
      </c>
      <c r="I10" s="185">
        <v>0.25337435448314144</v>
      </c>
      <c r="J10" s="185">
        <v>0.37285269083822786</v>
      </c>
      <c r="K10" s="185">
        <v>0.64371847491251222</v>
      </c>
      <c r="L10" s="185">
        <v>0.45924745654825144</v>
      </c>
      <c r="M10" s="185">
        <v>0.65729696999563425</v>
      </c>
      <c r="N10" s="185">
        <v>0.66143936873887221</v>
      </c>
      <c r="O10" s="185">
        <v>1.7598199113080544</v>
      </c>
      <c r="P10" s="185">
        <v>2.1215832873349223</v>
      </c>
      <c r="Q10" s="185">
        <v>1.9518796368291647</v>
      </c>
      <c r="R10" s="185">
        <v>2.1455309474146018</v>
      </c>
      <c r="S10" s="185">
        <v>3.0950498325129114</v>
      </c>
      <c r="T10" s="185">
        <v>2.7323256052716238</v>
      </c>
      <c r="U10" s="185">
        <v>2.7005285101059084</v>
      </c>
      <c r="V10" s="185">
        <v>3.8097131193962954</v>
      </c>
      <c r="W10" s="185">
        <v>3.7689923976321671</v>
      </c>
      <c r="X10" s="185">
        <v>3.8761876813037452</v>
      </c>
      <c r="Y10" s="185">
        <v>3.7708864493265053</v>
      </c>
      <c r="Z10" s="185">
        <v>3.8898391971137825</v>
      </c>
      <c r="AA10" s="185">
        <v>3.8606678149478419</v>
      </c>
      <c r="AB10" s="185">
        <v>4.0346320624740626</v>
      </c>
      <c r="AC10" s="185">
        <v>3.8834560266298932</v>
      </c>
      <c r="AD10" s="185">
        <v>3.8870903480263754</v>
      </c>
      <c r="AE10" s="185">
        <v>4.0005670575323222</v>
      </c>
      <c r="AF10" s="185">
        <v>3.8810195238266196</v>
      </c>
      <c r="AG10" s="185">
        <v>3.7992381905477077</v>
      </c>
      <c r="AH10" s="185">
        <v>3.884478715751551</v>
      </c>
      <c r="AI10" s="185">
        <v>4.0138644014550566</v>
      </c>
      <c r="AJ10" s="295">
        <v>3.6823854212204168</v>
      </c>
    </row>
    <row r="11" spans="1:45" s="71" customFormat="1" ht="15.6">
      <c r="A11" s="80" t="s">
        <v>50</v>
      </c>
      <c r="B11" s="186">
        <v>126.40337280619869</v>
      </c>
      <c r="C11" s="186">
        <v>122.57100849566181</v>
      </c>
      <c r="D11" s="186">
        <v>122.60620264308352</v>
      </c>
      <c r="E11" s="186">
        <v>118.63981067808957</v>
      </c>
      <c r="F11" s="186">
        <v>122.38874449438525</v>
      </c>
      <c r="G11" s="186">
        <v>133.44575141570613</v>
      </c>
      <c r="H11" s="186">
        <v>130.39129138559497</v>
      </c>
      <c r="I11" s="186">
        <v>132.55428330084393</v>
      </c>
      <c r="J11" s="186">
        <v>137.30854006780527</v>
      </c>
      <c r="K11" s="186">
        <v>134.21655248481014</v>
      </c>
      <c r="L11" s="186">
        <v>139.7138433379869</v>
      </c>
      <c r="M11" s="186">
        <v>137.99065610798135</v>
      </c>
      <c r="N11" s="186">
        <v>148.39716899778873</v>
      </c>
      <c r="O11" s="186">
        <v>146.23242391932467</v>
      </c>
      <c r="P11" s="186">
        <v>147.0934836423834</v>
      </c>
      <c r="Q11" s="186">
        <v>144.74312632555694</v>
      </c>
      <c r="R11" s="186">
        <v>147.45002052084254</v>
      </c>
      <c r="S11" s="186">
        <v>145.92405574281224</v>
      </c>
      <c r="T11" s="186">
        <v>141.87565639814184</v>
      </c>
      <c r="U11" s="186">
        <v>119.76209931208173</v>
      </c>
      <c r="V11" s="186">
        <v>121.70870410113133</v>
      </c>
      <c r="W11" s="186">
        <v>119.57793463693831</v>
      </c>
      <c r="X11" s="186">
        <v>115.78647600093768</v>
      </c>
      <c r="Y11" s="186">
        <v>98.137627340549614</v>
      </c>
      <c r="Z11" s="186">
        <v>90.99868195310799</v>
      </c>
      <c r="AA11" s="186">
        <v>94.548472304045845</v>
      </c>
      <c r="AB11" s="186">
        <v>93.863743159910342</v>
      </c>
      <c r="AC11" s="186">
        <v>94.307087279330361</v>
      </c>
      <c r="AD11" s="186">
        <v>86.635484742035814</v>
      </c>
      <c r="AE11" s="186">
        <v>82.320543725154124</v>
      </c>
      <c r="AF11" s="186">
        <v>73.463947603774983</v>
      </c>
      <c r="AG11" s="186">
        <v>77.943993377450155</v>
      </c>
      <c r="AH11" s="186">
        <v>86.688836907301976</v>
      </c>
      <c r="AI11" s="186">
        <v>67.452693257450079</v>
      </c>
      <c r="AJ11" s="296">
        <v>58.337747250974878</v>
      </c>
      <c r="AK11" s="779"/>
      <c r="AL11" s="779"/>
    </row>
    <row r="12" spans="1:45">
      <c r="A12" s="44" t="s">
        <v>161</v>
      </c>
      <c r="K12" s="92"/>
      <c r="L12" s="92"/>
      <c r="M12" s="92"/>
      <c r="N12" s="92"/>
      <c r="O12" s="92"/>
      <c r="P12" s="92"/>
      <c r="Q12" s="92"/>
      <c r="R12" s="92"/>
      <c r="S12" s="92"/>
      <c r="T12" s="92"/>
      <c r="U12" s="92"/>
      <c r="V12" s="92"/>
      <c r="W12" s="92"/>
      <c r="X12" s="92"/>
    </row>
    <row r="13" spans="1:45">
      <c r="A13" s="44" t="s">
        <v>644</v>
      </c>
      <c r="B13" s="102"/>
      <c r="C13" s="102"/>
      <c r="D13" s="102"/>
      <c r="E13" s="102"/>
      <c r="F13" s="102"/>
      <c r="G13" s="430"/>
      <c r="H13" s="102"/>
      <c r="I13" s="102"/>
      <c r="J13" s="102"/>
      <c r="K13" s="102"/>
      <c r="L13" s="102"/>
      <c r="M13" s="102"/>
      <c r="N13" s="102"/>
      <c r="O13" s="102"/>
      <c r="P13" s="102"/>
      <c r="Q13" s="103"/>
      <c r="R13" s="102"/>
      <c r="S13" s="102"/>
      <c r="T13" s="103"/>
      <c r="U13" s="102"/>
      <c r="V13" s="121"/>
      <c r="W13" s="121"/>
      <c r="X13" s="121"/>
      <c r="Y13" s="121"/>
      <c r="Z13" s="430"/>
      <c r="AA13" s="430"/>
      <c r="AB13" s="430"/>
      <c r="AC13" s="430"/>
      <c r="AD13" s="430"/>
      <c r="AE13" s="430"/>
      <c r="AF13" s="430"/>
      <c r="AG13" s="430"/>
      <c r="AH13" s="430"/>
      <c r="AI13" s="430"/>
      <c r="AJ13" s="430"/>
    </row>
    <row r="14" spans="1:45">
      <c r="B14" s="559"/>
      <c r="C14" s="559"/>
      <c r="D14" s="559"/>
      <c r="E14" s="559"/>
      <c r="F14" s="559"/>
      <c r="G14" s="559"/>
      <c r="H14" s="559"/>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row>
    <row r="15" spans="1:45" ht="18">
      <c r="A15" s="47" t="s">
        <v>625</v>
      </c>
      <c r="B15" s="93"/>
      <c r="C15" s="93"/>
      <c r="D15" s="93"/>
      <c r="E15" s="93"/>
      <c r="F15" s="93"/>
      <c r="G15" s="93"/>
      <c r="H15" s="93"/>
      <c r="I15" s="93"/>
      <c r="J15" s="93"/>
      <c r="K15" s="93"/>
      <c r="L15" s="93"/>
      <c r="M15" s="93"/>
      <c r="N15" s="93"/>
      <c r="O15" s="120"/>
      <c r="P15" s="120"/>
      <c r="Q15" s="120"/>
      <c r="R15" s="120"/>
      <c r="S15" s="120"/>
      <c r="T15" s="120"/>
      <c r="U15" s="120"/>
      <c r="V15" s="120"/>
      <c r="W15" s="120"/>
      <c r="X15" s="120"/>
      <c r="Y15" s="120"/>
      <c r="Z15" s="120"/>
      <c r="AA15" s="120"/>
      <c r="AB15" s="120"/>
      <c r="AC15" s="120"/>
      <c r="AD15" s="120"/>
      <c r="AE15" s="120"/>
      <c r="AF15" s="120"/>
      <c r="AG15" s="120"/>
      <c r="AH15" s="120"/>
      <c r="AI15" s="120"/>
      <c r="AJ15" s="120"/>
    </row>
    <row r="16" spans="1:45" ht="14.4">
      <c r="A16" s="878" t="s">
        <v>11</v>
      </c>
      <c r="B16" s="806">
        <v>1990</v>
      </c>
      <c r="C16" s="806">
        <v>1991</v>
      </c>
      <c r="D16" s="806">
        <v>1992</v>
      </c>
      <c r="E16" s="806">
        <v>1993</v>
      </c>
      <c r="F16" s="806">
        <v>1994</v>
      </c>
      <c r="G16" s="806">
        <v>1995</v>
      </c>
      <c r="H16" s="806">
        <v>1996</v>
      </c>
      <c r="I16" s="806">
        <v>1997</v>
      </c>
      <c r="J16" s="806">
        <v>1998</v>
      </c>
      <c r="K16" s="806">
        <v>1999</v>
      </c>
      <c r="L16" s="806">
        <v>2000</v>
      </c>
      <c r="M16" s="806">
        <v>2001</v>
      </c>
      <c r="N16" s="806">
        <v>2002</v>
      </c>
      <c r="O16" s="806">
        <v>2003</v>
      </c>
      <c r="P16" s="806">
        <v>2004</v>
      </c>
      <c r="Q16" s="806">
        <v>2005</v>
      </c>
      <c r="R16" s="806">
        <v>2006</v>
      </c>
      <c r="S16" s="806">
        <v>2007</v>
      </c>
      <c r="T16" s="806">
        <v>2008</v>
      </c>
      <c r="U16" s="806">
        <v>2009</v>
      </c>
      <c r="V16" s="806">
        <v>2010</v>
      </c>
      <c r="W16" s="806">
        <v>2011</v>
      </c>
      <c r="X16" s="806">
        <v>2012</v>
      </c>
      <c r="Y16" s="806">
        <v>2013</v>
      </c>
      <c r="Z16" s="807">
        <v>2014</v>
      </c>
      <c r="AA16" s="807">
        <v>2015</v>
      </c>
      <c r="AB16" s="807">
        <v>2016</v>
      </c>
      <c r="AC16" s="807">
        <v>2017</v>
      </c>
      <c r="AD16" s="807">
        <v>2018</v>
      </c>
      <c r="AE16" s="807">
        <v>2019</v>
      </c>
      <c r="AF16" s="807">
        <v>2020</v>
      </c>
      <c r="AG16" s="807">
        <v>2021</v>
      </c>
      <c r="AH16" s="807">
        <v>2022</v>
      </c>
      <c r="AI16" s="807">
        <v>2023</v>
      </c>
      <c r="AJ16" s="808" t="s">
        <v>597</v>
      </c>
    </row>
    <row r="17" spans="1:39" ht="16.2">
      <c r="A17" s="879"/>
      <c r="B17" s="77" t="s">
        <v>93</v>
      </c>
      <c r="C17" s="78"/>
      <c r="D17" s="78"/>
      <c r="E17" s="78"/>
      <c r="F17" s="78"/>
      <c r="G17" s="78"/>
      <c r="H17" s="78"/>
      <c r="I17" s="78"/>
      <c r="J17" s="78"/>
      <c r="K17" s="78"/>
      <c r="L17" s="78"/>
      <c r="M17" s="78"/>
      <c r="N17" s="78"/>
      <c r="O17" s="78"/>
      <c r="P17" s="78"/>
      <c r="Q17" s="78"/>
      <c r="R17" s="78"/>
      <c r="S17" s="78"/>
      <c r="T17" s="78"/>
      <c r="U17" s="78"/>
      <c r="V17" s="78"/>
      <c r="W17" s="78"/>
      <c r="X17" s="78"/>
      <c r="Y17" s="78"/>
      <c r="Z17" s="137"/>
      <c r="AA17" s="137"/>
      <c r="AB17" s="137"/>
      <c r="AC17" s="137"/>
      <c r="AD17" s="137"/>
      <c r="AE17" s="137"/>
      <c r="AF17" s="137"/>
      <c r="AG17" s="137"/>
      <c r="AH17" s="137"/>
      <c r="AI17" s="137"/>
      <c r="AJ17" s="294"/>
    </row>
    <row r="18" spans="1:39" ht="15.6">
      <c r="A18" s="79" t="s">
        <v>5</v>
      </c>
      <c r="B18" s="185">
        <v>0</v>
      </c>
      <c r="C18" s="185">
        <v>0</v>
      </c>
      <c r="D18" s="185">
        <v>0</v>
      </c>
      <c r="E18" s="185">
        <v>0</v>
      </c>
      <c r="F18" s="185">
        <v>0</v>
      </c>
      <c r="G18" s="185">
        <v>0</v>
      </c>
      <c r="H18" s="185">
        <v>0</v>
      </c>
      <c r="I18" s="185">
        <v>0</v>
      </c>
      <c r="J18" s="185">
        <v>0</v>
      </c>
      <c r="K18" s="185">
        <v>0</v>
      </c>
      <c r="L18" s="185">
        <v>0</v>
      </c>
      <c r="M18" s="185">
        <v>0</v>
      </c>
      <c r="N18" s="185">
        <v>0</v>
      </c>
      <c r="O18" s="185">
        <v>0</v>
      </c>
      <c r="P18" s="185">
        <v>0.30797848113209625</v>
      </c>
      <c r="Q18" s="185">
        <v>0.30797237417221623</v>
      </c>
      <c r="R18" s="185">
        <v>0.31358853669105002</v>
      </c>
      <c r="S18" s="185">
        <v>0.20600319107057175</v>
      </c>
      <c r="T18" s="185">
        <v>0.10564091088838268</v>
      </c>
      <c r="U18" s="185">
        <v>2.2396343792117079E-2</v>
      </c>
      <c r="V18" s="185">
        <v>0.13690999236926871</v>
      </c>
      <c r="W18" s="185">
        <v>0.17316929467916253</v>
      </c>
      <c r="X18" s="185">
        <v>0.13765038115165851</v>
      </c>
      <c r="Y18" s="185">
        <v>0.15329981116060765</v>
      </c>
      <c r="Z18" s="185">
        <v>0.17991254003879931</v>
      </c>
      <c r="AA18" s="185">
        <v>0.20243385951799553</v>
      </c>
      <c r="AB18" s="185">
        <v>0.20145516915328088</v>
      </c>
      <c r="AC18" s="185">
        <v>0.20320213156557898</v>
      </c>
      <c r="AD18" s="185">
        <v>0.20591314961486873</v>
      </c>
      <c r="AE18" s="185">
        <v>0.20342367392287386</v>
      </c>
      <c r="AF18" s="185">
        <v>9.8183259295941738E-2</v>
      </c>
      <c r="AG18" s="185">
        <v>0</v>
      </c>
      <c r="AH18" s="185">
        <v>0</v>
      </c>
      <c r="AI18" s="185">
        <v>0</v>
      </c>
      <c r="AJ18" s="295">
        <v>0</v>
      </c>
    </row>
    <row r="19" spans="1:39" ht="15.6">
      <c r="A19" s="79" t="s">
        <v>643</v>
      </c>
      <c r="B19" s="185">
        <v>0</v>
      </c>
      <c r="C19" s="185">
        <v>0</v>
      </c>
      <c r="D19" s="185">
        <v>0</v>
      </c>
      <c r="E19" s="185">
        <v>0</v>
      </c>
      <c r="F19" s="185">
        <v>0</v>
      </c>
      <c r="G19" s="185">
        <v>0</v>
      </c>
      <c r="H19" s="185">
        <v>0</v>
      </c>
      <c r="I19" s="185">
        <v>0</v>
      </c>
      <c r="J19" s="185">
        <v>0</v>
      </c>
      <c r="K19" s="185">
        <v>0</v>
      </c>
      <c r="L19" s="185">
        <v>0</v>
      </c>
      <c r="M19" s="185">
        <v>0</v>
      </c>
      <c r="N19" s="185">
        <v>0</v>
      </c>
      <c r="O19" s="185">
        <v>0</v>
      </c>
      <c r="P19" s="185">
        <v>13.504708893087191</v>
      </c>
      <c r="Q19" s="185">
        <v>7.5815846354963981</v>
      </c>
      <c r="R19" s="185">
        <v>7.5802067576704815</v>
      </c>
      <c r="S19" s="185">
        <v>7.7782408104164205</v>
      </c>
      <c r="T19" s="185">
        <v>7.8103956850031722</v>
      </c>
      <c r="U19" s="185">
        <v>6.9289047699137285</v>
      </c>
      <c r="V19" s="185">
        <v>8.3468434076785414</v>
      </c>
      <c r="W19" s="185">
        <v>8.2432810596564465</v>
      </c>
      <c r="X19" s="185">
        <v>8.137425290318987</v>
      </c>
      <c r="Y19" s="185">
        <v>8.3111708521078285</v>
      </c>
      <c r="Z19" s="185">
        <v>7.9652068982055368</v>
      </c>
      <c r="AA19" s="185">
        <v>8.7492198064849021</v>
      </c>
      <c r="AB19" s="185">
        <v>9.0308989773193673</v>
      </c>
      <c r="AC19" s="185">
        <v>9.0796748714022613</v>
      </c>
      <c r="AD19" s="185">
        <v>8.8888557903026282</v>
      </c>
      <c r="AE19" s="185">
        <v>8.9730984174270461</v>
      </c>
      <c r="AF19" s="185">
        <v>8.8179422126046205</v>
      </c>
      <c r="AG19" s="185">
        <v>9.4402680476391936</v>
      </c>
      <c r="AH19" s="185">
        <v>8.7925818332898587</v>
      </c>
      <c r="AI19" s="185">
        <v>8.0862779787726637</v>
      </c>
      <c r="AJ19" s="295">
        <v>8.6031223816048197</v>
      </c>
    </row>
    <row r="20" spans="1:39" ht="15.6">
      <c r="A20" s="79" t="s">
        <v>7</v>
      </c>
      <c r="B20" s="185">
        <v>0</v>
      </c>
      <c r="C20" s="185">
        <v>0</v>
      </c>
      <c r="D20" s="185">
        <v>0</v>
      </c>
      <c r="E20" s="185">
        <v>0</v>
      </c>
      <c r="F20" s="185">
        <v>0</v>
      </c>
      <c r="G20" s="185">
        <v>0</v>
      </c>
      <c r="H20" s="185">
        <v>0</v>
      </c>
      <c r="I20" s="185">
        <v>0</v>
      </c>
      <c r="J20" s="185">
        <v>0</v>
      </c>
      <c r="K20" s="185">
        <v>0</v>
      </c>
      <c r="L20" s="185">
        <v>0</v>
      </c>
      <c r="M20" s="185">
        <v>0</v>
      </c>
      <c r="N20" s="185">
        <v>0</v>
      </c>
      <c r="O20" s="185">
        <v>0</v>
      </c>
      <c r="P20" s="185">
        <v>0.21739428589600074</v>
      </c>
      <c r="Q20" s="185">
        <v>0.32051322797589599</v>
      </c>
      <c r="R20" s="185">
        <v>0.1754104962477161</v>
      </c>
      <c r="S20" s="185">
        <v>0.11238939972630391</v>
      </c>
      <c r="T20" s="185">
        <v>0.15207926440268871</v>
      </c>
      <c r="U20" s="185">
        <v>0.10307728522561455</v>
      </c>
      <c r="V20" s="185">
        <v>0.16860836110662891</v>
      </c>
      <c r="W20" s="185">
        <v>0.19870752089419774</v>
      </c>
      <c r="X20" s="185">
        <v>0.73906644127998256</v>
      </c>
      <c r="Y20" s="185">
        <v>0.45630272566736441</v>
      </c>
      <c r="Z20" s="185">
        <v>0.46477232859198114</v>
      </c>
      <c r="AA20" s="185">
        <v>0.91447380954282131</v>
      </c>
      <c r="AB20" s="185">
        <v>1.1227149896692152</v>
      </c>
      <c r="AC20" s="185">
        <v>0.84574309918198276</v>
      </c>
      <c r="AD20" s="185">
        <v>0.40327751853409222</v>
      </c>
      <c r="AE20" s="185">
        <v>0.89602245008357606</v>
      </c>
      <c r="AF20" s="185">
        <v>0.57593388027593306</v>
      </c>
      <c r="AG20" s="185">
        <v>0.29055625242746874</v>
      </c>
      <c r="AH20" s="185">
        <v>0.40914933205427362</v>
      </c>
      <c r="AI20" s="185">
        <v>0.38186301869614603</v>
      </c>
      <c r="AJ20" s="295">
        <v>0.36277349650300028</v>
      </c>
    </row>
    <row r="21" spans="1:39" ht="15.6">
      <c r="A21" s="79" t="s">
        <v>8</v>
      </c>
      <c r="B21" s="185">
        <v>0</v>
      </c>
      <c r="C21" s="185">
        <v>0</v>
      </c>
      <c r="D21" s="185">
        <v>0</v>
      </c>
      <c r="E21" s="185">
        <v>0</v>
      </c>
      <c r="F21" s="185">
        <v>0</v>
      </c>
      <c r="G21" s="185">
        <v>0</v>
      </c>
      <c r="H21" s="185">
        <v>0</v>
      </c>
      <c r="I21" s="185">
        <v>0</v>
      </c>
      <c r="J21" s="185">
        <v>0</v>
      </c>
      <c r="K21" s="185">
        <v>0</v>
      </c>
      <c r="L21" s="185">
        <v>0</v>
      </c>
      <c r="M21" s="185">
        <v>0</v>
      </c>
      <c r="N21" s="185">
        <v>0</v>
      </c>
      <c r="O21" s="185">
        <v>0</v>
      </c>
      <c r="P21" s="185">
        <v>5.4320620813454852</v>
      </c>
      <c r="Q21" s="185">
        <v>4.3832298092931197</v>
      </c>
      <c r="R21" s="185">
        <v>5.9976732609852021</v>
      </c>
      <c r="S21" s="185">
        <v>5.7910949318930243</v>
      </c>
      <c r="T21" s="185">
        <v>5.4838072577478094</v>
      </c>
      <c r="U21" s="185">
        <v>5.7691731482104025</v>
      </c>
      <c r="V21" s="185">
        <v>4.9817557569736017</v>
      </c>
      <c r="W21" s="185">
        <v>4.6745475671344678</v>
      </c>
      <c r="X21" s="185">
        <v>3.518095751933199</v>
      </c>
      <c r="Y21" s="185">
        <v>3.6009253930406402</v>
      </c>
      <c r="Z21" s="185">
        <v>2.6434520573500464</v>
      </c>
      <c r="AA21" s="185">
        <v>2.6004517227135775</v>
      </c>
      <c r="AB21" s="185">
        <v>2.528767795309764</v>
      </c>
      <c r="AC21" s="185">
        <v>2.4167127730315343</v>
      </c>
      <c r="AD21" s="185">
        <v>2.380288453129447</v>
      </c>
      <c r="AE21" s="185">
        <v>2.0784570464097136</v>
      </c>
      <c r="AF21" s="185">
        <v>2.3803991334130652</v>
      </c>
      <c r="AG21" s="185">
        <v>1.790639639963949</v>
      </c>
      <c r="AH21" s="185">
        <v>2.6883891920440304</v>
      </c>
      <c r="AI21" s="185">
        <v>2.1969202177566771</v>
      </c>
      <c r="AJ21" s="295">
        <v>1.6184040155404675</v>
      </c>
    </row>
    <row r="22" spans="1:39" ht="15.6">
      <c r="A22" s="79" t="s">
        <v>9</v>
      </c>
      <c r="B22" s="185">
        <v>0</v>
      </c>
      <c r="C22" s="185">
        <v>0</v>
      </c>
      <c r="D22" s="185">
        <v>0</v>
      </c>
      <c r="E22" s="185">
        <v>0</v>
      </c>
      <c r="F22" s="185">
        <v>0</v>
      </c>
      <c r="G22" s="185">
        <v>0</v>
      </c>
      <c r="H22" s="185">
        <v>0</v>
      </c>
      <c r="I22" s="185">
        <v>0</v>
      </c>
      <c r="J22" s="185">
        <v>0</v>
      </c>
      <c r="K22" s="185">
        <v>0</v>
      </c>
      <c r="L22" s="185">
        <v>0</v>
      </c>
      <c r="M22" s="185">
        <v>0</v>
      </c>
      <c r="N22" s="185">
        <v>0</v>
      </c>
      <c r="O22" s="185">
        <v>0</v>
      </c>
      <c r="P22" s="185">
        <v>0.69031444860137592</v>
      </c>
      <c r="Q22" s="185">
        <v>0.51136086049940732</v>
      </c>
      <c r="R22" s="185">
        <v>0.69544785037984269</v>
      </c>
      <c r="S22" s="185">
        <v>0.5809267740259898</v>
      </c>
      <c r="T22" s="185">
        <v>0.39222842402105895</v>
      </c>
      <c r="U22" s="185">
        <v>0.26359908626029593</v>
      </c>
      <c r="V22" s="185">
        <v>0.37331639513184323</v>
      </c>
      <c r="W22" s="185">
        <v>0.4724977263041259</v>
      </c>
      <c r="X22" s="185">
        <v>0.38875918653270469</v>
      </c>
      <c r="Y22" s="185">
        <v>0.48198305502387884</v>
      </c>
      <c r="Z22" s="185">
        <v>0.49613690005133027</v>
      </c>
      <c r="AA22" s="185">
        <v>0.67473343290016174</v>
      </c>
      <c r="AB22" s="185">
        <v>0.76339780398462143</v>
      </c>
      <c r="AC22" s="185">
        <v>0.81801658584021419</v>
      </c>
      <c r="AD22" s="185">
        <v>0.84566503802244952</v>
      </c>
      <c r="AE22" s="185">
        <v>0.88517492799662012</v>
      </c>
      <c r="AF22" s="185">
        <v>0.87830650603280702</v>
      </c>
      <c r="AG22" s="185">
        <v>0.80484483294802223</v>
      </c>
      <c r="AH22" s="185">
        <v>0.79606191074205146</v>
      </c>
      <c r="AI22" s="185">
        <v>0.78432492746021421</v>
      </c>
      <c r="AJ22" s="295">
        <v>0.71955262796926256</v>
      </c>
    </row>
    <row r="23" spans="1:39" ht="15.6">
      <c r="A23" s="80" t="s">
        <v>50</v>
      </c>
      <c r="B23" s="186">
        <v>0</v>
      </c>
      <c r="C23" s="186">
        <v>0</v>
      </c>
      <c r="D23" s="186">
        <v>0</v>
      </c>
      <c r="E23" s="186">
        <v>0</v>
      </c>
      <c r="F23" s="186">
        <v>0</v>
      </c>
      <c r="G23" s="186">
        <v>0</v>
      </c>
      <c r="H23" s="186">
        <v>0</v>
      </c>
      <c r="I23" s="186">
        <v>0</v>
      </c>
      <c r="J23" s="186">
        <v>0</v>
      </c>
      <c r="K23" s="186">
        <v>0</v>
      </c>
      <c r="L23" s="186">
        <v>0</v>
      </c>
      <c r="M23" s="186">
        <v>0</v>
      </c>
      <c r="N23" s="186">
        <v>0</v>
      </c>
      <c r="O23" s="186">
        <v>0</v>
      </c>
      <c r="P23" s="186">
        <v>20.152458190062163</v>
      </c>
      <c r="Q23" s="186">
        <v>13.104660907437051</v>
      </c>
      <c r="R23" s="186">
        <v>14.762326901974262</v>
      </c>
      <c r="S23" s="186">
        <v>14.468655107132349</v>
      </c>
      <c r="T23" s="186">
        <v>13.944151542063139</v>
      </c>
      <c r="U23" s="186">
        <v>13.087150633402175</v>
      </c>
      <c r="V23" s="186">
        <v>14.007433913259888</v>
      </c>
      <c r="W23" s="186">
        <v>13.762203168668421</v>
      </c>
      <c r="X23" s="186">
        <v>12.920997051216517</v>
      </c>
      <c r="Y23" s="186">
        <v>13.003681837000315</v>
      </c>
      <c r="Z23" s="186">
        <v>11.749480724237671</v>
      </c>
      <c r="AA23" s="186">
        <v>13.141312631159437</v>
      </c>
      <c r="AB23" s="186">
        <v>13.647234735436257</v>
      </c>
      <c r="AC23" s="186">
        <v>13.363349461021571</v>
      </c>
      <c r="AD23" s="186">
        <v>12.723999949603481</v>
      </c>
      <c r="AE23" s="186">
        <v>13.036176515839827</v>
      </c>
      <c r="AF23" s="186">
        <v>12.750764991622361</v>
      </c>
      <c r="AG23" s="186">
        <v>12.326308772978635</v>
      </c>
      <c r="AH23" s="186">
        <v>12.68618226813021</v>
      </c>
      <c r="AI23" s="186">
        <v>11.449386142685697</v>
      </c>
      <c r="AJ23" s="296">
        <v>11.30385252161755</v>
      </c>
    </row>
    <row r="24" spans="1:39">
      <c r="A24" s="44" t="s">
        <v>162</v>
      </c>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row>
    <row r="25" spans="1:39">
      <c r="A25" s="44" t="s">
        <v>644</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row>
    <row r="26" spans="1:39">
      <c r="B26" s="92"/>
      <c r="C26" s="92"/>
      <c r="D26" s="92"/>
      <c r="E26" s="92"/>
      <c r="F26" s="92"/>
      <c r="G26" s="92"/>
      <c r="H26" s="92"/>
      <c r="I26" s="92"/>
      <c r="J26" s="92"/>
      <c r="K26" s="92"/>
      <c r="L26" s="92"/>
      <c r="M26" s="92"/>
      <c r="N26" s="92"/>
      <c r="O26" s="92"/>
      <c r="P26" s="166"/>
      <c r="Q26" s="166"/>
      <c r="R26" s="166"/>
      <c r="S26" s="166"/>
      <c r="T26" s="166"/>
      <c r="U26" s="166"/>
      <c r="V26" s="166"/>
      <c r="W26" s="166"/>
      <c r="X26" s="166"/>
      <c r="Y26" s="166"/>
      <c r="Z26" s="166"/>
      <c r="AA26" s="166"/>
      <c r="AB26" s="166"/>
      <c r="AC26" s="166"/>
      <c r="AD26" s="166"/>
      <c r="AE26" s="166"/>
      <c r="AF26" s="166"/>
      <c r="AG26" s="166"/>
      <c r="AH26" s="166"/>
      <c r="AI26" s="166"/>
      <c r="AJ26" s="166"/>
    </row>
    <row r="27" spans="1:39">
      <c r="B27" s="92"/>
      <c r="C27" s="92"/>
      <c r="D27" s="92"/>
      <c r="E27" s="92"/>
      <c r="F27" s="92"/>
      <c r="G27" s="92"/>
      <c r="H27" s="92"/>
      <c r="I27" s="92"/>
      <c r="J27" s="92"/>
      <c r="K27" s="92"/>
      <c r="L27" s="92"/>
      <c r="M27" s="92"/>
      <c r="N27" s="92"/>
      <c r="O27" s="92"/>
    </row>
    <row r="28" spans="1:39" ht="18">
      <c r="A28" s="47" t="s">
        <v>624</v>
      </c>
      <c r="M28" s="92"/>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9" ht="13.95" customHeight="1">
      <c r="A29" s="878" t="s">
        <v>11</v>
      </c>
      <c r="B29" s="806">
        <v>1990</v>
      </c>
      <c r="C29" s="806">
        <v>1991</v>
      </c>
      <c r="D29" s="806">
        <v>1992</v>
      </c>
      <c r="E29" s="806">
        <v>1993</v>
      </c>
      <c r="F29" s="806">
        <v>1994</v>
      </c>
      <c r="G29" s="806">
        <v>1995</v>
      </c>
      <c r="H29" s="806">
        <v>1996</v>
      </c>
      <c r="I29" s="806">
        <v>1997</v>
      </c>
      <c r="J29" s="806">
        <v>1998</v>
      </c>
      <c r="K29" s="806">
        <v>1999</v>
      </c>
      <c r="L29" s="806">
        <v>2000</v>
      </c>
      <c r="M29" s="806">
        <v>2001</v>
      </c>
      <c r="N29" s="806">
        <v>2002</v>
      </c>
      <c r="O29" s="806">
        <v>2003</v>
      </c>
      <c r="P29" s="806">
        <v>2004</v>
      </c>
      <c r="Q29" s="806">
        <v>2005</v>
      </c>
      <c r="R29" s="806">
        <v>2006</v>
      </c>
      <c r="S29" s="806">
        <v>2007</v>
      </c>
      <c r="T29" s="806">
        <v>2008</v>
      </c>
      <c r="U29" s="806">
        <v>2009</v>
      </c>
      <c r="V29" s="806">
        <v>2010</v>
      </c>
      <c r="W29" s="806">
        <v>2011</v>
      </c>
      <c r="X29" s="806">
        <v>2012</v>
      </c>
      <c r="Y29" s="806">
        <v>2013</v>
      </c>
      <c r="Z29" s="807">
        <v>2014</v>
      </c>
      <c r="AA29" s="807">
        <v>2015</v>
      </c>
      <c r="AB29" s="807">
        <v>2016</v>
      </c>
      <c r="AC29" s="807">
        <v>2017</v>
      </c>
      <c r="AD29" s="807">
        <v>2018</v>
      </c>
      <c r="AE29" s="807">
        <v>2019</v>
      </c>
      <c r="AF29" s="807">
        <v>2020</v>
      </c>
      <c r="AG29" s="807">
        <v>2021</v>
      </c>
      <c r="AH29" s="807">
        <v>2022</v>
      </c>
      <c r="AI29" s="807">
        <v>2023</v>
      </c>
      <c r="AJ29" s="808" t="s">
        <v>597</v>
      </c>
    </row>
    <row r="30" spans="1:39" ht="13.95" customHeight="1">
      <c r="A30" s="879"/>
      <c r="B30" s="77" t="s">
        <v>93</v>
      </c>
      <c r="C30" s="78"/>
      <c r="D30" s="78"/>
      <c r="E30" s="78"/>
      <c r="F30" s="78"/>
      <c r="G30" s="78"/>
      <c r="H30" s="78"/>
      <c r="I30" s="78"/>
      <c r="J30" s="78"/>
      <c r="K30" s="78"/>
      <c r="L30" s="78"/>
      <c r="M30" s="78"/>
      <c r="N30" s="78"/>
      <c r="O30" s="78"/>
      <c r="P30" s="78"/>
      <c r="Q30" s="78"/>
      <c r="R30" s="78"/>
      <c r="S30" s="78"/>
      <c r="T30" s="78"/>
      <c r="U30" s="78"/>
      <c r="V30" s="78"/>
      <c r="W30" s="78"/>
      <c r="X30" s="78"/>
      <c r="Y30" s="78"/>
      <c r="Z30" s="137"/>
      <c r="AA30" s="137"/>
      <c r="AB30" s="137"/>
      <c r="AC30" s="137"/>
      <c r="AD30" s="137"/>
      <c r="AE30" s="137"/>
      <c r="AF30" s="137"/>
      <c r="AG30" s="137"/>
      <c r="AH30" s="137"/>
      <c r="AI30" s="137"/>
      <c r="AJ30" s="294"/>
    </row>
    <row r="31" spans="1:39" ht="15.6">
      <c r="A31" s="79" t="s">
        <v>5</v>
      </c>
      <c r="B31" s="185">
        <f t="shared" ref="B31:O31" si="0">B18+B6</f>
        <v>28.102350947760765</v>
      </c>
      <c r="C31" s="185">
        <f t="shared" si="0"/>
        <v>25.115948003604856</v>
      </c>
      <c r="D31" s="185">
        <f t="shared" si="0"/>
        <v>18.839031409633201</v>
      </c>
      <c r="E31" s="185">
        <f t="shared" si="0"/>
        <v>14.499701436399942</v>
      </c>
      <c r="F31" s="185">
        <f t="shared" si="0"/>
        <v>17.30152174158804</v>
      </c>
      <c r="G31" s="185">
        <f t="shared" si="0"/>
        <v>20.822393634109179</v>
      </c>
      <c r="H31" s="185">
        <f t="shared" si="0"/>
        <v>19.082949692268567</v>
      </c>
      <c r="I31" s="185">
        <f t="shared" si="0"/>
        <v>17.795919141412384</v>
      </c>
      <c r="J31" s="185">
        <f t="shared" si="0"/>
        <v>20.297914937391326</v>
      </c>
      <c r="K31" s="185">
        <f t="shared" si="0"/>
        <v>20.489019815571449</v>
      </c>
      <c r="L31" s="185">
        <f t="shared" si="0"/>
        <v>22.384032967862424</v>
      </c>
      <c r="M31" s="185">
        <f t="shared" si="0"/>
        <v>28.177316945463815</v>
      </c>
      <c r="N31" s="185">
        <f t="shared" si="0"/>
        <v>32.157799137451505</v>
      </c>
      <c r="O31" s="185">
        <f t="shared" si="0"/>
        <v>35.28169446024318</v>
      </c>
      <c r="P31" s="185">
        <f t="shared" ref="P31:AB31" si="1">P18+P6</f>
        <v>42.480745482660481</v>
      </c>
      <c r="Q31" s="185">
        <f t="shared" si="1"/>
        <v>40.419794764594513</v>
      </c>
      <c r="R31" s="185">
        <f t="shared" si="1"/>
        <v>40.037288867242673</v>
      </c>
      <c r="S31" s="185">
        <f t="shared" si="1"/>
        <v>40.85992547936084</v>
      </c>
      <c r="T31" s="185">
        <f t="shared" si="1"/>
        <v>40.370478464679003</v>
      </c>
      <c r="U31" s="185">
        <f t="shared" si="1"/>
        <v>36.20640901006162</v>
      </c>
      <c r="V31" s="185">
        <f t="shared" si="1"/>
        <v>35.479474455035309</v>
      </c>
      <c r="W31" s="185">
        <f t="shared" si="1"/>
        <v>39.250038479034785</v>
      </c>
      <c r="X31" s="185">
        <f t="shared" si="1"/>
        <v>42.519802017956152</v>
      </c>
      <c r="Y31" s="185">
        <f t="shared" si="1"/>
        <v>39.739328128412261</v>
      </c>
      <c r="Z31" s="185">
        <f t="shared" si="1"/>
        <v>38.265098809142522</v>
      </c>
      <c r="AA31" s="185">
        <f t="shared" si="1"/>
        <v>39.073832510679097</v>
      </c>
      <c r="AB31" s="185">
        <f t="shared" si="1"/>
        <v>32.085618205705934</v>
      </c>
      <c r="AC31" s="185">
        <f t="shared" ref="AC31:AE36" si="2">AC18+AC6</f>
        <v>28.590347689580529</v>
      </c>
      <c r="AD31" s="185">
        <f t="shared" si="2"/>
        <v>25.386233343276569</v>
      </c>
      <c r="AE31" s="185">
        <f t="shared" si="2"/>
        <v>17.326167900842716</v>
      </c>
      <c r="AF31" s="185">
        <f t="shared" ref="AF31:AG36" si="3">AF18+AF6</f>
        <v>12.503399541992247</v>
      </c>
      <c r="AG31" s="185">
        <f t="shared" si="3"/>
        <v>13.10731286870373</v>
      </c>
      <c r="AH31" s="185">
        <f t="shared" ref="AH31:AI36" si="4">AH18+AH6</f>
        <v>21.07648523858181</v>
      </c>
      <c r="AI31" s="185">
        <f t="shared" si="4"/>
        <v>12.1242417899877</v>
      </c>
      <c r="AJ31" s="295">
        <f t="shared" ref="AJ31:AJ36" si="5">AJ18+AJ6</f>
        <v>3.512024900077237</v>
      </c>
      <c r="AK31" s="312"/>
      <c r="AL31" s="312"/>
      <c r="AM31" s="312"/>
    </row>
    <row r="32" spans="1:39" ht="15.6">
      <c r="A32" s="79" t="s">
        <v>643</v>
      </c>
      <c r="B32" s="185">
        <f t="shared" ref="B32:O32" si="6">B19+B7</f>
        <v>21.242487420593115</v>
      </c>
      <c r="C32" s="185">
        <f t="shared" si="6"/>
        <v>19.600765238656457</v>
      </c>
      <c r="D32" s="185">
        <f t="shared" si="6"/>
        <v>18.924255907078216</v>
      </c>
      <c r="E32" s="185">
        <f t="shared" si="6"/>
        <v>21.248079019972074</v>
      </c>
      <c r="F32" s="185">
        <f t="shared" si="6"/>
        <v>21.206571386281201</v>
      </c>
      <c r="G32" s="185">
        <f t="shared" si="6"/>
        <v>24.630156246881619</v>
      </c>
      <c r="H32" s="185">
        <f t="shared" si="6"/>
        <v>25.885077286082339</v>
      </c>
      <c r="I32" s="185">
        <f t="shared" si="6"/>
        <v>30.706597926452027</v>
      </c>
      <c r="J32" s="185">
        <f t="shared" si="6"/>
        <v>35.899578758149254</v>
      </c>
      <c r="K32" s="185">
        <f t="shared" si="6"/>
        <v>43.633913479009514</v>
      </c>
      <c r="L32" s="185">
        <f t="shared" si="6"/>
        <v>49.269990969722116</v>
      </c>
      <c r="M32" s="185">
        <f t="shared" si="6"/>
        <v>47.989108428844268</v>
      </c>
      <c r="N32" s="185">
        <f t="shared" si="6"/>
        <v>48.874768809365108</v>
      </c>
      <c r="O32" s="185">
        <f t="shared" si="6"/>
        <v>50.174591982184843</v>
      </c>
      <c r="P32" s="185">
        <f t="shared" ref="P32:AB32" si="7">P19+P7</f>
        <v>66.383064100948317</v>
      </c>
      <c r="Q32" s="185">
        <f t="shared" si="7"/>
        <v>67.365065576750354</v>
      </c>
      <c r="R32" s="185">
        <f t="shared" si="7"/>
        <v>69.196201757617914</v>
      </c>
      <c r="S32" s="185">
        <f t="shared" si="7"/>
        <v>74.637932433525535</v>
      </c>
      <c r="T32" s="185">
        <f t="shared" si="7"/>
        <v>75.419276849000269</v>
      </c>
      <c r="U32" s="185">
        <f t="shared" si="7"/>
        <v>64.562766491999952</v>
      </c>
      <c r="V32" s="185">
        <f t="shared" si="7"/>
        <v>68.071716447809663</v>
      </c>
      <c r="W32" s="185">
        <f t="shared" si="7"/>
        <v>63.798691632425744</v>
      </c>
      <c r="X32" s="185">
        <f t="shared" si="7"/>
        <v>58.184656407416426</v>
      </c>
      <c r="Y32" s="185">
        <f t="shared" si="7"/>
        <v>48.898450810188855</v>
      </c>
      <c r="Z32" s="185">
        <f t="shared" si="7"/>
        <v>43.215735100508127</v>
      </c>
      <c r="AA32" s="185">
        <f t="shared" si="7"/>
        <v>49.49212543281682</v>
      </c>
      <c r="AB32" s="185">
        <f t="shared" si="7"/>
        <v>55.747909781312785</v>
      </c>
      <c r="AC32" s="185">
        <f t="shared" si="2"/>
        <v>61.111998535460238</v>
      </c>
      <c r="AD32" s="185">
        <f t="shared" si="2"/>
        <v>56.36137951167693</v>
      </c>
      <c r="AE32" s="185">
        <f t="shared" si="2"/>
        <v>61.322323123846566</v>
      </c>
      <c r="AF32" s="185">
        <f t="shared" si="3"/>
        <v>58.504200986508941</v>
      </c>
      <c r="AG32" s="185">
        <f t="shared" si="3"/>
        <v>63.097499150512917</v>
      </c>
      <c r="AH32" s="185">
        <f t="shared" si="4"/>
        <v>61.070764725969873</v>
      </c>
      <c r="AI32" s="185">
        <f t="shared" si="4"/>
        <v>52.318953935929628</v>
      </c>
      <c r="AJ32" s="295">
        <f t="shared" si="5"/>
        <v>54.188283534886999</v>
      </c>
      <c r="AK32" s="312"/>
      <c r="AL32" s="312"/>
      <c r="AM32" s="312"/>
    </row>
    <row r="33" spans="1:39" ht="15.6">
      <c r="A33" s="79" t="s">
        <v>7</v>
      </c>
      <c r="B33" s="185">
        <f t="shared" ref="B33:O33" si="8">B20+B8</f>
        <v>6.7478123889999999</v>
      </c>
      <c r="C33" s="185">
        <f t="shared" si="8"/>
        <v>6.5197966649999994</v>
      </c>
      <c r="D33" s="185">
        <f t="shared" si="8"/>
        <v>6.213643832999999</v>
      </c>
      <c r="E33" s="185">
        <f t="shared" si="8"/>
        <v>5.9076571639999997</v>
      </c>
      <c r="F33" s="185">
        <f t="shared" si="8"/>
        <v>5.4052594300000001</v>
      </c>
      <c r="G33" s="185">
        <f t="shared" si="8"/>
        <v>6.3949679359999996</v>
      </c>
      <c r="H33" s="185">
        <f t="shared" si="8"/>
        <v>6.0890504390000002</v>
      </c>
      <c r="I33" s="185">
        <f t="shared" si="8"/>
        <v>7.1264215849999992</v>
      </c>
      <c r="J33" s="185">
        <f t="shared" si="8"/>
        <v>8.3011012400000013</v>
      </c>
      <c r="K33" s="185">
        <f t="shared" si="8"/>
        <v>7.1078100869999998</v>
      </c>
      <c r="L33" s="185">
        <f t="shared" si="8"/>
        <v>6.370664798</v>
      </c>
      <c r="M33" s="185">
        <f t="shared" si="8"/>
        <v>6.9489296380000001</v>
      </c>
      <c r="N33" s="185">
        <f t="shared" si="8"/>
        <v>6.9838866389999996</v>
      </c>
      <c r="O33" s="185">
        <f t="shared" si="8"/>
        <v>6.7547838880000004</v>
      </c>
      <c r="P33" s="185">
        <f t="shared" ref="P33:AB33" si="9">P20+P8</f>
        <v>10.025083315</v>
      </c>
      <c r="Q33" s="185">
        <f t="shared" si="9"/>
        <v>11.402131146914854</v>
      </c>
      <c r="R33" s="185">
        <f t="shared" si="9"/>
        <v>11.80570728866727</v>
      </c>
      <c r="S33" s="185">
        <f t="shared" si="9"/>
        <v>10.203833975672506</v>
      </c>
      <c r="T33" s="185">
        <f t="shared" si="9"/>
        <v>9.4792506682330409</v>
      </c>
      <c r="U33" s="185">
        <f t="shared" si="9"/>
        <v>6.050553792885176</v>
      </c>
      <c r="V33" s="185">
        <f t="shared" si="9"/>
        <v>7.9928218399884834</v>
      </c>
      <c r="W33" s="185">
        <f t="shared" si="9"/>
        <v>9.0218079640158759</v>
      </c>
      <c r="X33" s="185">
        <f t="shared" si="9"/>
        <v>8.17327583048775</v>
      </c>
      <c r="Y33" s="185">
        <f t="shared" si="9"/>
        <v>5.9007110089602435</v>
      </c>
      <c r="Z33" s="185">
        <f t="shared" si="9"/>
        <v>5.971418832176342</v>
      </c>
      <c r="AA33" s="185">
        <f t="shared" si="9"/>
        <v>4.4684446317919413</v>
      </c>
      <c r="AB33" s="185">
        <f t="shared" si="9"/>
        <v>5.707978497800192</v>
      </c>
      <c r="AC33" s="185">
        <f t="shared" si="2"/>
        <v>4.5448225070009647</v>
      </c>
      <c r="AD33" s="185">
        <f t="shared" si="2"/>
        <v>4.5078563848125439</v>
      </c>
      <c r="AE33" s="185">
        <f t="shared" si="2"/>
        <v>4.3096460440486588</v>
      </c>
      <c r="AF33" s="185">
        <f t="shared" si="3"/>
        <v>2.8755126740036538</v>
      </c>
      <c r="AG33" s="185">
        <f t="shared" si="3"/>
        <v>3.6321994841140106</v>
      </c>
      <c r="AH33" s="185">
        <f t="shared" si="4"/>
        <v>2.9571437690211528</v>
      </c>
      <c r="AI33" s="185">
        <f t="shared" si="4"/>
        <v>1.9810635476073095</v>
      </c>
      <c r="AJ33" s="295">
        <f t="shared" si="5"/>
        <v>1.882029195741536</v>
      </c>
      <c r="AK33" s="312"/>
      <c r="AL33" s="312"/>
      <c r="AM33" s="312"/>
    </row>
    <row r="34" spans="1:39" ht="15.6">
      <c r="A34" s="79" t="s">
        <v>8</v>
      </c>
      <c r="B34" s="185">
        <f t="shared" ref="B34:O34" si="10">B21+B9</f>
        <v>70.205173519114126</v>
      </c>
      <c r="C34" s="185">
        <f t="shared" si="10"/>
        <v>71.203431898516541</v>
      </c>
      <c r="D34" s="185">
        <f t="shared" si="10"/>
        <v>78.524376173966772</v>
      </c>
      <c r="E34" s="185">
        <f t="shared" si="10"/>
        <v>76.878911314959467</v>
      </c>
      <c r="F34" s="185">
        <f t="shared" si="10"/>
        <v>78.34682124362206</v>
      </c>
      <c r="G34" s="185">
        <f t="shared" si="10"/>
        <v>81.414688695924241</v>
      </c>
      <c r="H34" s="185">
        <f t="shared" si="10"/>
        <v>79.111571776786789</v>
      </c>
      <c r="I34" s="185">
        <f t="shared" si="10"/>
        <v>76.6719702934964</v>
      </c>
      <c r="J34" s="185">
        <f t="shared" si="10"/>
        <v>72.437092441426458</v>
      </c>
      <c r="K34" s="185">
        <f t="shared" si="10"/>
        <v>62.342090628316662</v>
      </c>
      <c r="L34" s="185">
        <f t="shared" si="10"/>
        <v>61.229907145854121</v>
      </c>
      <c r="M34" s="185">
        <f t="shared" si="10"/>
        <v>54.218004125677631</v>
      </c>
      <c r="N34" s="185">
        <f t="shared" si="10"/>
        <v>59.719275043233225</v>
      </c>
      <c r="O34" s="185">
        <f t="shared" si="10"/>
        <v>52.261533677588602</v>
      </c>
      <c r="P34" s="185">
        <f t="shared" ref="P34:AB34" si="11">P21+P9</f>
        <v>45.545151197900466</v>
      </c>
      <c r="Q34" s="185">
        <f t="shared" si="11"/>
        <v>36.197555247405688</v>
      </c>
      <c r="R34" s="185">
        <f t="shared" si="11"/>
        <v>38.332170711494513</v>
      </c>
      <c r="S34" s="185">
        <f t="shared" si="11"/>
        <v>31.015042354846795</v>
      </c>
      <c r="T34" s="185">
        <f t="shared" si="11"/>
        <v>27.42624792899997</v>
      </c>
      <c r="U34" s="185">
        <f t="shared" si="11"/>
        <v>23.065393054170926</v>
      </c>
      <c r="V34" s="185">
        <f t="shared" si="11"/>
        <v>19.989095757029624</v>
      </c>
      <c r="W34" s="185">
        <f t="shared" si="11"/>
        <v>17.028109606194025</v>
      </c>
      <c r="X34" s="185">
        <f t="shared" si="11"/>
        <v>15.564791928457431</v>
      </c>
      <c r="Y34" s="185">
        <f t="shared" si="11"/>
        <v>12.349949725638183</v>
      </c>
      <c r="Z34" s="185">
        <f t="shared" si="11"/>
        <v>10.909933838353574</v>
      </c>
      <c r="AA34" s="185">
        <f t="shared" si="11"/>
        <v>10.119981112069429</v>
      </c>
      <c r="AB34" s="185">
        <f t="shared" si="11"/>
        <v>9.1714415440689994</v>
      </c>
      <c r="AC34" s="185">
        <f t="shared" si="2"/>
        <v>8.721795395840088</v>
      </c>
      <c r="AD34" s="185">
        <f t="shared" si="2"/>
        <v>8.3712600658244298</v>
      </c>
      <c r="AE34" s="185">
        <f t="shared" si="2"/>
        <v>7.5128411867270737</v>
      </c>
      <c r="AF34" s="185">
        <f t="shared" si="3"/>
        <v>7.5722733630330818</v>
      </c>
      <c r="AG34" s="185">
        <f t="shared" si="3"/>
        <v>5.8292076236024002</v>
      </c>
      <c r="AH34" s="185">
        <f t="shared" si="4"/>
        <v>9.5900848153657385</v>
      </c>
      <c r="AI34" s="185">
        <f t="shared" si="4"/>
        <v>7.6796307976958795</v>
      </c>
      <c r="AJ34" s="295">
        <f>AJ21+AJ9</f>
        <v>5.6573240926969799</v>
      </c>
      <c r="AK34" s="312"/>
      <c r="AL34" s="312"/>
      <c r="AM34" s="312"/>
    </row>
    <row r="35" spans="1:39" ht="15.6">
      <c r="A35" s="79" t="s">
        <v>9</v>
      </c>
      <c r="B35" s="185">
        <f t="shared" ref="B35:O35" si="12">B22+B10</f>
        <v>0.10554852973068349</v>
      </c>
      <c r="C35" s="185">
        <f t="shared" si="12"/>
        <v>0.13106668988394637</v>
      </c>
      <c r="D35" s="185">
        <f t="shared" si="12"/>
        <v>0.10489531940532766</v>
      </c>
      <c r="E35" s="185">
        <f t="shared" si="12"/>
        <v>0.10546174275810015</v>
      </c>
      <c r="F35" s="185">
        <f t="shared" si="12"/>
        <v>0.12857069289394271</v>
      </c>
      <c r="G35" s="185">
        <f t="shared" si="12"/>
        <v>0.18354490279107072</v>
      </c>
      <c r="H35" s="185">
        <f t="shared" si="12"/>
        <v>0.22264219145727709</v>
      </c>
      <c r="I35" s="185">
        <f t="shared" si="12"/>
        <v>0.25337435448314144</v>
      </c>
      <c r="J35" s="185">
        <f t="shared" si="12"/>
        <v>0.37285269083822786</v>
      </c>
      <c r="K35" s="185">
        <f t="shared" si="12"/>
        <v>0.64371847491251222</v>
      </c>
      <c r="L35" s="185">
        <f t="shared" si="12"/>
        <v>0.45924745654825144</v>
      </c>
      <c r="M35" s="185">
        <f t="shared" si="12"/>
        <v>0.65729696999563425</v>
      </c>
      <c r="N35" s="185">
        <f t="shared" si="12"/>
        <v>0.66143936873887221</v>
      </c>
      <c r="O35" s="185">
        <f t="shared" si="12"/>
        <v>1.7598199113080544</v>
      </c>
      <c r="P35" s="185">
        <f t="shared" ref="P35:AB35" si="13">P22+P10</f>
        <v>2.8118977359362982</v>
      </c>
      <c r="Q35" s="185">
        <f t="shared" si="13"/>
        <v>2.463240497328572</v>
      </c>
      <c r="R35" s="185">
        <f t="shared" si="13"/>
        <v>2.8409787977944445</v>
      </c>
      <c r="S35" s="185">
        <f t="shared" si="13"/>
        <v>3.6759766065389012</v>
      </c>
      <c r="T35" s="185">
        <f t="shared" si="13"/>
        <v>3.1245540292926828</v>
      </c>
      <c r="U35" s="185">
        <f t="shared" si="13"/>
        <v>2.9641275963662044</v>
      </c>
      <c r="V35" s="185">
        <f t="shared" si="13"/>
        <v>4.1830295145281386</v>
      </c>
      <c r="W35" s="185">
        <f t="shared" si="13"/>
        <v>4.241490123936293</v>
      </c>
      <c r="X35" s="185">
        <f t="shared" si="13"/>
        <v>4.2649468678364499</v>
      </c>
      <c r="Y35" s="185">
        <f t="shared" si="13"/>
        <v>4.2528695043503841</v>
      </c>
      <c r="Z35" s="185">
        <f t="shared" si="13"/>
        <v>4.3859760971651127</v>
      </c>
      <c r="AA35" s="185">
        <f t="shared" si="13"/>
        <v>4.5354012478480037</v>
      </c>
      <c r="AB35" s="185">
        <f t="shared" si="13"/>
        <v>4.798029866458684</v>
      </c>
      <c r="AC35" s="185">
        <f t="shared" si="2"/>
        <v>4.7014726124701074</v>
      </c>
      <c r="AD35" s="185">
        <f t="shared" si="2"/>
        <v>4.732755386048825</v>
      </c>
      <c r="AE35" s="185">
        <f t="shared" si="2"/>
        <v>4.8857419855289423</v>
      </c>
      <c r="AF35" s="185">
        <f t="shared" si="3"/>
        <v>4.7593260298594267</v>
      </c>
      <c r="AG35" s="185">
        <f t="shared" si="3"/>
        <v>4.60408302349573</v>
      </c>
      <c r="AH35" s="185">
        <f t="shared" si="4"/>
        <v>4.6805406264936025</v>
      </c>
      <c r="AI35" s="185">
        <f t="shared" si="4"/>
        <v>4.7981893289152708</v>
      </c>
      <c r="AJ35" s="295">
        <f t="shared" si="5"/>
        <v>4.4019380491896793</v>
      </c>
      <c r="AK35" s="312"/>
      <c r="AL35" s="312"/>
      <c r="AM35" s="312"/>
    </row>
    <row r="36" spans="1:39" ht="15.6">
      <c r="A36" s="80" t="s">
        <v>50</v>
      </c>
      <c r="B36" s="186">
        <f t="shared" ref="B36:O36" si="14">B23+B11</f>
        <v>126.40337280619869</v>
      </c>
      <c r="C36" s="186">
        <f t="shared" si="14"/>
        <v>122.57100849566181</v>
      </c>
      <c r="D36" s="186">
        <f t="shared" si="14"/>
        <v>122.60620264308352</v>
      </c>
      <c r="E36" s="186">
        <f t="shared" si="14"/>
        <v>118.63981067808957</v>
      </c>
      <c r="F36" s="186">
        <f t="shared" si="14"/>
        <v>122.38874449438525</v>
      </c>
      <c r="G36" s="186">
        <f t="shared" si="14"/>
        <v>133.44575141570613</v>
      </c>
      <c r="H36" s="186">
        <f t="shared" si="14"/>
        <v>130.39129138559497</v>
      </c>
      <c r="I36" s="186">
        <f t="shared" si="14"/>
        <v>132.55428330084393</v>
      </c>
      <c r="J36" s="186">
        <f t="shared" si="14"/>
        <v>137.30854006780527</v>
      </c>
      <c r="K36" s="186">
        <f t="shared" si="14"/>
        <v>134.21655248481014</v>
      </c>
      <c r="L36" s="186">
        <f t="shared" si="14"/>
        <v>139.7138433379869</v>
      </c>
      <c r="M36" s="186">
        <f t="shared" si="14"/>
        <v>137.99065610798135</v>
      </c>
      <c r="N36" s="186">
        <f t="shared" si="14"/>
        <v>148.39716899778873</v>
      </c>
      <c r="O36" s="186">
        <f t="shared" si="14"/>
        <v>146.23242391932467</v>
      </c>
      <c r="P36" s="186">
        <f t="shared" ref="P36:AB36" si="15">P23+P11</f>
        <v>167.24594183244557</v>
      </c>
      <c r="Q36" s="186">
        <f t="shared" si="15"/>
        <v>157.84778723299399</v>
      </c>
      <c r="R36" s="186">
        <f t="shared" si="15"/>
        <v>162.2123474228168</v>
      </c>
      <c r="S36" s="186">
        <f t="shared" si="15"/>
        <v>160.39271084994459</v>
      </c>
      <c r="T36" s="186">
        <f t="shared" si="15"/>
        <v>155.81980794020498</v>
      </c>
      <c r="U36" s="186">
        <f t="shared" si="15"/>
        <v>132.8492499454839</v>
      </c>
      <c r="V36" s="186">
        <f t="shared" si="15"/>
        <v>135.71613801439122</v>
      </c>
      <c r="W36" s="186">
        <f t="shared" si="15"/>
        <v>133.34013780560673</v>
      </c>
      <c r="X36" s="186">
        <f t="shared" si="15"/>
        <v>128.7074730521542</v>
      </c>
      <c r="Y36" s="186">
        <f t="shared" si="15"/>
        <v>111.14130917754993</v>
      </c>
      <c r="Z36" s="186">
        <f t="shared" si="15"/>
        <v>102.74816267734566</v>
      </c>
      <c r="AA36" s="186">
        <f t="shared" si="15"/>
        <v>107.68978493520528</v>
      </c>
      <c r="AB36" s="186">
        <f t="shared" si="15"/>
        <v>107.5109778953466</v>
      </c>
      <c r="AC36" s="186">
        <f t="shared" si="2"/>
        <v>107.67043674035193</v>
      </c>
      <c r="AD36" s="186">
        <f t="shared" si="2"/>
        <v>99.359484691639295</v>
      </c>
      <c r="AE36" s="186">
        <f t="shared" si="2"/>
        <v>95.356720240993951</v>
      </c>
      <c r="AF36" s="186">
        <f t="shared" si="3"/>
        <v>86.214712595397344</v>
      </c>
      <c r="AG36" s="186">
        <f t="shared" si="3"/>
        <v>90.27030215042879</v>
      </c>
      <c r="AH36" s="186">
        <f t="shared" si="4"/>
        <v>99.375019175432186</v>
      </c>
      <c r="AI36" s="186">
        <f t="shared" si="4"/>
        <v>78.902079400135776</v>
      </c>
      <c r="AJ36" s="296">
        <f t="shared" si="5"/>
        <v>69.641599772592429</v>
      </c>
      <c r="AK36" s="312"/>
      <c r="AL36" s="312"/>
      <c r="AM36" s="312"/>
    </row>
    <row r="37" spans="1:39">
      <c r="A37" s="44" t="s">
        <v>644</v>
      </c>
      <c r="AM37" s="846"/>
    </row>
    <row r="38" spans="1:39">
      <c r="B38" s="312"/>
      <c r="C38" s="312"/>
      <c r="D38" s="312"/>
      <c r="E38" s="312"/>
      <c r="F38" s="312"/>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row>
    <row r="39" spans="1:39">
      <c r="AH39" s="312"/>
      <c r="AI39" s="312"/>
      <c r="AJ39" s="312"/>
    </row>
    <row r="40" spans="1:39" ht="18">
      <c r="A40" s="47" t="s">
        <v>623</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548"/>
      <c r="AC40" s="548"/>
      <c r="AD40" s="548"/>
      <c r="AE40" s="548"/>
      <c r="AF40" s="548"/>
      <c r="AG40" s="548"/>
      <c r="AH40" s="548"/>
      <c r="AI40" s="548"/>
      <c r="AJ40" s="548"/>
      <c r="AK40" s="548"/>
      <c r="AL40" s="548"/>
    </row>
    <row r="41" spans="1:39" ht="14.4">
      <c r="A41" s="880"/>
      <c r="B41" s="806">
        <v>1990</v>
      </c>
      <c r="C41" s="806">
        <v>1991</v>
      </c>
      <c r="D41" s="806">
        <v>1992</v>
      </c>
      <c r="E41" s="806">
        <v>1993</v>
      </c>
      <c r="F41" s="806">
        <v>1994</v>
      </c>
      <c r="G41" s="806">
        <v>1995</v>
      </c>
      <c r="H41" s="806">
        <v>1996</v>
      </c>
      <c r="I41" s="806">
        <v>1997</v>
      </c>
      <c r="J41" s="806">
        <v>1998</v>
      </c>
      <c r="K41" s="806">
        <v>1999</v>
      </c>
      <c r="L41" s="806">
        <v>2000</v>
      </c>
      <c r="M41" s="806">
        <v>2001</v>
      </c>
      <c r="N41" s="806">
        <v>2002</v>
      </c>
      <c r="O41" s="806">
        <v>2003</v>
      </c>
      <c r="P41" s="806">
        <v>2004</v>
      </c>
      <c r="Q41" s="806">
        <v>2005</v>
      </c>
      <c r="R41" s="806">
        <v>2006</v>
      </c>
      <c r="S41" s="806">
        <v>2007</v>
      </c>
      <c r="T41" s="806">
        <v>2008</v>
      </c>
      <c r="U41" s="806">
        <v>2009</v>
      </c>
      <c r="V41" s="806">
        <v>2010</v>
      </c>
      <c r="W41" s="806">
        <v>2011</v>
      </c>
      <c r="X41" s="806">
        <v>2012</v>
      </c>
      <c r="Y41" s="806">
        <v>2013</v>
      </c>
      <c r="Z41" s="807">
        <v>2014</v>
      </c>
      <c r="AA41" s="807">
        <v>2015</v>
      </c>
      <c r="AB41" s="807">
        <v>2016</v>
      </c>
      <c r="AC41" s="807">
        <v>2017</v>
      </c>
      <c r="AD41" s="807">
        <v>2018</v>
      </c>
      <c r="AE41" s="807">
        <v>2019</v>
      </c>
      <c r="AF41" s="807">
        <v>2020</v>
      </c>
      <c r="AG41" s="807">
        <v>2021</v>
      </c>
      <c r="AH41" s="807">
        <v>2022</v>
      </c>
      <c r="AI41" s="807">
        <v>2023</v>
      </c>
      <c r="AJ41" s="808" t="s">
        <v>597</v>
      </c>
      <c r="AK41" s="548"/>
      <c r="AL41" s="548"/>
    </row>
    <row r="42" spans="1:39" ht="16.2">
      <c r="A42" s="881"/>
      <c r="B42" s="77" t="s">
        <v>93</v>
      </c>
      <c r="C42" s="78"/>
      <c r="D42" s="78"/>
      <c r="E42" s="78"/>
      <c r="F42" s="78"/>
      <c r="G42" s="78"/>
      <c r="H42" s="78"/>
      <c r="I42" s="78"/>
      <c r="J42" s="78"/>
      <c r="K42" s="78"/>
      <c r="L42" s="78"/>
      <c r="M42" s="78"/>
      <c r="N42" s="78"/>
      <c r="O42" s="78"/>
      <c r="P42" s="78"/>
      <c r="Q42" s="78"/>
      <c r="R42" s="78"/>
      <c r="S42" s="78"/>
      <c r="T42" s="78"/>
      <c r="U42" s="78"/>
      <c r="V42" s="78"/>
      <c r="W42" s="78"/>
      <c r="X42" s="78"/>
      <c r="Y42" s="78"/>
      <c r="Z42" s="137"/>
      <c r="AA42" s="137"/>
      <c r="AB42" s="137"/>
      <c r="AC42" s="137"/>
      <c r="AD42" s="137"/>
      <c r="AE42" s="137"/>
      <c r="AF42" s="137"/>
      <c r="AG42" s="137"/>
      <c r="AH42" s="137"/>
      <c r="AI42" s="137"/>
      <c r="AJ42" s="294"/>
      <c r="AK42" s="548"/>
      <c r="AL42" s="548"/>
    </row>
    <row r="43" spans="1:39">
      <c r="A43" s="582" t="s">
        <v>657</v>
      </c>
      <c r="B43" s="583">
        <v>126.40337280619869</v>
      </c>
      <c r="C43" s="583">
        <v>122.57100849566181</v>
      </c>
      <c r="D43" s="583">
        <v>122.60620264308352</v>
      </c>
      <c r="E43" s="583">
        <v>118.63981067808957</v>
      </c>
      <c r="F43" s="583">
        <v>122.38874449438525</v>
      </c>
      <c r="G43" s="583">
        <v>133.44575141570613</v>
      </c>
      <c r="H43" s="583">
        <v>130.39129138559497</v>
      </c>
      <c r="I43" s="583">
        <v>132.55428330084393</v>
      </c>
      <c r="J43" s="583">
        <v>137.30854006780527</v>
      </c>
      <c r="K43" s="583">
        <v>134.21655248481014</v>
      </c>
      <c r="L43" s="583">
        <v>139.7138433379869</v>
      </c>
      <c r="M43" s="583">
        <v>137.99065610798135</v>
      </c>
      <c r="N43" s="583">
        <v>148.39716899778873</v>
      </c>
      <c r="O43" s="583">
        <v>146.23242391932467</v>
      </c>
      <c r="P43" s="583">
        <v>147.0934836423834</v>
      </c>
      <c r="Q43" s="583">
        <v>144.74312632555694</v>
      </c>
      <c r="R43" s="583">
        <v>147.45002052084254</v>
      </c>
      <c r="S43" s="583">
        <v>145.92405574281224</v>
      </c>
      <c r="T43" s="583">
        <v>141.87565639814184</v>
      </c>
      <c r="U43" s="583">
        <v>119.76209931208173</v>
      </c>
      <c r="V43" s="583">
        <v>121.70870410113133</v>
      </c>
      <c r="W43" s="583">
        <v>119.57793463693831</v>
      </c>
      <c r="X43" s="583">
        <v>115.78647600093768</v>
      </c>
      <c r="Y43" s="583">
        <v>98.137627340549614</v>
      </c>
      <c r="Z43" s="583">
        <v>90.99868195310799</v>
      </c>
      <c r="AA43" s="583">
        <v>94.548472304045845</v>
      </c>
      <c r="AB43" s="583">
        <v>93.863743159910342</v>
      </c>
      <c r="AC43" s="583">
        <v>94.307087279330361</v>
      </c>
      <c r="AD43" s="583">
        <v>86.635484742035814</v>
      </c>
      <c r="AE43" s="583">
        <v>82.320543725154124</v>
      </c>
      <c r="AF43" s="583">
        <v>73.463947603774983</v>
      </c>
      <c r="AG43" s="583">
        <v>77.943993377450155</v>
      </c>
      <c r="AH43" s="583">
        <v>86.688836907301976</v>
      </c>
      <c r="AI43" s="583">
        <v>67.452693257450079</v>
      </c>
      <c r="AJ43" s="584">
        <v>58.337747250974878</v>
      </c>
      <c r="AK43" s="548"/>
      <c r="AL43" s="548"/>
    </row>
    <row r="44" spans="1:39">
      <c r="A44" s="582" t="s">
        <v>658</v>
      </c>
      <c r="B44" s="185">
        <v>24.753903717634604</v>
      </c>
      <c r="C44" s="185">
        <v>32.274320222616971</v>
      </c>
      <c r="D44" s="185">
        <v>31.715741949695254</v>
      </c>
      <c r="E44" s="185">
        <v>30.732261224558584</v>
      </c>
      <c r="F44" s="185">
        <v>32.746379088050389</v>
      </c>
      <c r="G44" s="185">
        <v>28.309666805372594</v>
      </c>
      <c r="H44" s="185">
        <v>31.28884739692591</v>
      </c>
      <c r="I44" s="185">
        <v>30.678523934677361</v>
      </c>
      <c r="J44" s="185">
        <v>30.961797914143197</v>
      </c>
      <c r="K44" s="185">
        <v>33.41395418152927</v>
      </c>
      <c r="L44" s="185">
        <v>32.537476360950286</v>
      </c>
      <c r="M44" s="185">
        <v>34.572102905283636</v>
      </c>
      <c r="N44" s="185">
        <v>31.2795988243412</v>
      </c>
      <c r="O44" s="185">
        <v>28.78147147196157</v>
      </c>
      <c r="P44" s="185">
        <v>32.963959134379493</v>
      </c>
      <c r="Q44" s="185">
        <v>28.345225811096217</v>
      </c>
      <c r="R44" s="185">
        <v>29.167515069373323</v>
      </c>
      <c r="S44" s="185">
        <v>26.849771542614004</v>
      </c>
      <c r="T44" s="185">
        <v>32.315144364702775</v>
      </c>
      <c r="U44" s="185">
        <v>37.85873633327882</v>
      </c>
      <c r="V44" s="185">
        <v>42.231326109719042</v>
      </c>
      <c r="W44" s="185">
        <v>45.572088298527561</v>
      </c>
      <c r="X44" s="185">
        <v>52.069326432837556</v>
      </c>
      <c r="Y44" s="185">
        <v>62.492295900801423</v>
      </c>
      <c r="Z44" s="185">
        <v>69.752003893712683</v>
      </c>
      <c r="AA44" s="185">
        <v>59.636588942439509</v>
      </c>
      <c r="AB44" s="185">
        <v>56.354451473812603</v>
      </c>
      <c r="AC44" s="185">
        <v>51.553693543221826</v>
      </c>
      <c r="AD44" s="185">
        <v>57.147788236414158</v>
      </c>
      <c r="AE44" s="185">
        <v>54.132507027012267</v>
      </c>
      <c r="AF44" s="185">
        <v>53.125945536944798</v>
      </c>
      <c r="AG44" s="185">
        <v>53.140572901362837</v>
      </c>
      <c r="AH44" s="185">
        <v>47.958007027363493</v>
      </c>
      <c r="AI44" s="185">
        <v>53.650327453782921</v>
      </c>
      <c r="AJ44" s="295">
        <v>55.778100296435149</v>
      </c>
      <c r="AK44" s="548"/>
      <c r="AL44" s="548"/>
    </row>
    <row r="45" spans="1:39">
      <c r="A45" s="582" t="s">
        <v>659</v>
      </c>
      <c r="B45" s="185">
        <v>151.1572765238333</v>
      </c>
      <c r="C45" s="185">
        <v>154.84532871827878</v>
      </c>
      <c r="D45" s="185">
        <v>154.32194459277878</v>
      </c>
      <c r="E45" s="185">
        <v>149.37207190264817</v>
      </c>
      <c r="F45" s="185">
        <v>155.1351235824356</v>
      </c>
      <c r="G45" s="185">
        <v>161.75541822107868</v>
      </c>
      <c r="H45" s="185">
        <v>161.68013878252088</v>
      </c>
      <c r="I45" s="185">
        <v>163.23280723552128</v>
      </c>
      <c r="J45" s="185">
        <v>168.2703379819485</v>
      </c>
      <c r="K45" s="185">
        <v>167.63050666633939</v>
      </c>
      <c r="L45" s="185">
        <v>172.25131969893718</v>
      </c>
      <c r="M45" s="185">
        <v>172.56275901326498</v>
      </c>
      <c r="N45" s="185">
        <v>179.6767678221299</v>
      </c>
      <c r="O45" s="185">
        <v>175.01389539128621</v>
      </c>
      <c r="P45" s="185">
        <v>180.05744277676288</v>
      </c>
      <c r="Q45" s="185">
        <v>173.08835213665316</v>
      </c>
      <c r="R45" s="185">
        <v>176.61753559021588</v>
      </c>
      <c r="S45" s="185">
        <v>172.77382728542625</v>
      </c>
      <c r="T45" s="185">
        <v>174.19080076284459</v>
      </c>
      <c r="U45" s="185">
        <v>157.62083564536056</v>
      </c>
      <c r="V45" s="185">
        <v>163.94003021085035</v>
      </c>
      <c r="W45" s="185">
        <v>165.15002293546584</v>
      </c>
      <c r="X45" s="185">
        <v>167.85580243377521</v>
      </c>
      <c r="Y45" s="185">
        <v>160.62992324135104</v>
      </c>
      <c r="Z45" s="185">
        <v>160.75068584682069</v>
      </c>
      <c r="AA45" s="185">
        <v>154.18506124648539</v>
      </c>
      <c r="AB45" s="185">
        <v>150.21819463372296</v>
      </c>
      <c r="AC45" s="185">
        <v>145.86078082255221</v>
      </c>
      <c r="AD45" s="185">
        <v>143.78327297844999</v>
      </c>
      <c r="AE45" s="185">
        <v>136.45305075216638</v>
      </c>
      <c r="AF45" s="185">
        <v>126.58989314071978</v>
      </c>
      <c r="AG45" s="185">
        <v>131.08456627881296</v>
      </c>
      <c r="AH45" s="185">
        <v>134.64684393466547</v>
      </c>
      <c r="AI45" s="185">
        <v>121.103020711233</v>
      </c>
      <c r="AJ45" s="295">
        <v>114.11584754741001</v>
      </c>
      <c r="AK45" s="548"/>
      <c r="AL45" s="548"/>
    </row>
    <row r="46" spans="1:39">
      <c r="AB46" s="548"/>
      <c r="AC46" s="548"/>
      <c r="AD46" s="548"/>
      <c r="AE46" s="548"/>
      <c r="AF46" s="548"/>
      <c r="AG46" s="548"/>
      <c r="AH46" s="548"/>
      <c r="AI46" s="548"/>
      <c r="AJ46" s="548"/>
      <c r="AK46" s="548"/>
      <c r="AL46" s="548"/>
    </row>
    <row r="48" spans="1:39">
      <c r="AB48" s="547"/>
      <c r="AC48" s="547"/>
      <c r="AD48" s="547"/>
      <c r="AE48" s="547"/>
      <c r="AF48" s="547"/>
      <c r="AG48" s="547"/>
      <c r="AH48" s="547"/>
      <c r="AI48" s="547"/>
      <c r="AJ48" s="547"/>
      <c r="AK48" s="547"/>
      <c r="AL48" s="547"/>
    </row>
    <row r="49" spans="28:38">
      <c r="AB49" s="547"/>
      <c r="AC49" s="547"/>
      <c r="AD49" s="547"/>
      <c r="AE49" s="547"/>
      <c r="AF49" s="547"/>
      <c r="AG49" s="547"/>
      <c r="AH49" s="547"/>
      <c r="AI49" s="547"/>
      <c r="AJ49" s="547"/>
      <c r="AK49" s="547"/>
      <c r="AL49" s="547"/>
    </row>
    <row r="50" spans="28:38">
      <c r="AB50" s="547"/>
      <c r="AC50" s="547"/>
      <c r="AD50" s="547"/>
      <c r="AE50" s="547"/>
      <c r="AF50" s="547"/>
      <c r="AG50" s="547"/>
      <c r="AH50" s="547"/>
      <c r="AI50" s="547"/>
      <c r="AJ50" s="547"/>
      <c r="AK50" s="547"/>
      <c r="AL50" s="547"/>
    </row>
    <row r="51" spans="28:38">
      <c r="AB51" s="547"/>
      <c r="AC51" s="547"/>
      <c r="AD51" s="547"/>
      <c r="AE51" s="547"/>
      <c r="AF51" s="547"/>
      <c r="AG51" s="547"/>
      <c r="AH51" s="547"/>
      <c r="AI51" s="547"/>
      <c r="AJ51" s="547"/>
      <c r="AK51" s="547"/>
      <c r="AL51" s="547"/>
    </row>
    <row r="52" spans="28:38">
      <c r="AB52" s="547"/>
      <c r="AC52" s="547"/>
      <c r="AD52" s="547"/>
      <c r="AE52" s="547"/>
      <c r="AF52" s="547"/>
      <c r="AG52" s="547"/>
      <c r="AH52" s="547"/>
      <c r="AI52" s="547"/>
      <c r="AJ52" s="547"/>
      <c r="AK52" s="547"/>
      <c r="AL52" s="547"/>
    </row>
    <row r="53" spans="28:38">
      <c r="AB53" s="547"/>
      <c r="AC53" s="547"/>
      <c r="AD53" s="547"/>
      <c r="AE53" s="547"/>
      <c r="AF53" s="547"/>
      <c r="AG53" s="547"/>
      <c r="AH53" s="547"/>
      <c r="AI53" s="547"/>
      <c r="AJ53" s="547"/>
      <c r="AK53" s="547"/>
      <c r="AL53" s="547"/>
    </row>
  </sheetData>
  <mergeCells count="4">
    <mergeCell ref="A4:A5"/>
    <mergeCell ref="A16:A17"/>
    <mergeCell ref="A29:A30"/>
    <mergeCell ref="A41:A42"/>
  </mergeCells>
  <hyperlinks>
    <hyperlink ref="A1" location="Indice!A1" display="Torna indietro"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4"/>
  <dimension ref="A1:B23"/>
  <sheetViews>
    <sheetView showGridLines="0" workbookViewId="0">
      <selection activeCell="O30" sqref="O30"/>
    </sheetView>
  </sheetViews>
  <sheetFormatPr defaultRowHeight="14.4"/>
  <sheetData>
    <row r="1" spans="1:2" ht="15.6">
      <c r="A1" s="608" t="s">
        <v>57</v>
      </c>
      <c r="B1" s="608"/>
    </row>
    <row r="23" spans="1:1" ht="18">
      <c r="A23" s="8" t="s">
        <v>633</v>
      </c>
    </row>
  </sheetData>
  <hyperlinks>
    <hyperlink ref="A1" location="Indice!A1" display="Torna indietro" xr:uid="{00000000-0004-0000-0B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5"/>
  <dimension ref="A1:B56"/>
  <sheetViews>
    <sheetView showGridLines="0" zoomScale="85" zoomScaleNormal="85" workbookViewId="0">
      <selection activeCell="O30" sqref="O30"/>
    </sheetView>
  </sheetViews>
  <sheetFormatPr defaultRowHeight="14.4"/>
  <sheetData>
    <row r="1" spans="1:2" ht="15.6">
      <c r="A1" s="608" t="s">
        <v>57</v>
      </c>
      <c r="B1" s="608"/>
    </row>
    <row r="56" spans="1:1" ht="18">
      <c r="A56" s="8" t="s">
        <v>632</v>
      </c>
    </row>
  </sheetData>
  <hyperlinks>
    <hyperlink ref="A1" location="Indice!A1" display="Torna indietro" xr:uid="{00000000-0004-0000-0C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6"/>
  <dimension ref="A1:AV63"/>
  <sheetViews>
    <sheetView showGridLines="0" zoomScaleNormal="100" workbookViewId="0">
      <selection activeCell="O30" sqref="O30"/>
    </sheetView>
  </sheetViews>
  <sheetFormatPr defaultColWidth="9.21875" defaultRowHeight="15.6"/>
  <cols>
    <col min="1" max="1" width="24.21875" style="2" customWidth="1"/>
    <col min="2" max="2" width="10" style="2" bestFit="1" customWidth="1"/>
    <col min="3" max="6" width="10" style="2" hidden="1" customWidth="1"/>
    <col min="7" max="7" width="10" style="2" bestFit="1" customWidth="1"/>
    <col min="8" max="11" width="10" style="2" hidden="1" customWidth="1"/>
    <col min="12" max="12" width="10" style="2" bestFit="1" customWidth="1"/>
    <col min="13" max="16" width="10" style="2" hidden="1" customWidth="1"/>
    <col min="17" max="17" width="9.5546875" style="2" bestFit="1" customWidth="1"/>
    <col min="18" max="21" width="8.77734375" style="2" hidden="1" customWidth="1"/>
    <col min="22" max="22" width="9.5546875" style="2" bestFit="1" customWidth="1"/>
    <col min="23" max="25" width="8.77734375" style="2" hidden="1" customWidth="1"/>
    <col min="26" max="26" width="8.77734375" style="123" hidden="1" customWidth="1"/>
    <col min="27" max="27" width="9.5546875" style="123" bestFit="1" customWidth="1"/>
    <col min="28" max="31" width="0.109375" style="123" customWidth="1"/>
    <col min="32" max="33" width="10" style="123" bestFit="1" customWidth="1"/>
    <col min="34" max="35" width="9.21875" style="2"/>
    <col min="36" max="36" width="10.21875" style="2" bestFit="1" customWidth="1"/>
    <col min="37" max="37" width="9.21875" style="2"/>
    <col min="38" max="38" width="13.44140625" style="2" bestFit="1" customWidth="1"/>
    <col min="39" max="39" width="12.5546875" style="2" customWidth="1"/>
    <col min="40" max="42" width="9.21875" style="2"/>
    <col min="43" max="43" width="12.77734375" style="2" bestFit="1" customWidth="1"/>
    <col min="44" max="16384" width="9.21875" style="2"/>
  </cols>
  <sheetData>
    <row r="1" spans="1:35">
      <c r="A1" s="608" t="s">
        <v>57</v>
      </c>
      <c r="B1" s="608"/>
    </row>
    <row r="3" spans="1:35" s="12" customFormat="1">
      <c r="A3" s="81" t="s">
        <v>631</v>
      </c>
      <c r="Z3" s="46"/>
      <c r="AA3" s="46"/>
      <c r="AB3" s="46"/>
      <c r="AC3" s="46"/>
      <c r="AD3" s="46"/>
      <c r="AE3" s="46"/>
      <c r="AF3" s="46"/>
      <c r="AG3" s="46"/>
    </row>
    <row r="4" spans="1:35" s="12" customFormat="1">
      <c r="A4" s="882" t="s">
        <v>11</v>
      </c>
      <c r="B4" s="67">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v>2023</v>
      </c>
    </row>
    <row r="5" spans="1:35" s="12" customFormat="1" ht="18">
      <c r="A5" s="883"/>
      <c r="B5" s="74" t="s">
        <v>94</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row>
    <row r="6" spans="1:35" s="12" customFormat="1">
      <c r="A6" s="79" t="s">
        <v>5</v>
      </c>
      <c r="B6" s="82">
        <v>876.910504813579</v>
      </c>
      <c r="C6" s="82">
        <v>881.04493645788239</v>
      </c>
      <c r="D6" s="82">
        <v>882.22494191407702</v>
      </c>
      <c r="E6" s="82">
        <v>870.3824621165702</v>
      </c>
      <c r="F6" s="82">
        <v>871.34980568030005</v>
      </c>
      <c r="G6" s="82">
        <v>863.21174173406769</v>
      </c>
      <c r="H6" s="82">
        <v>864.26402591796057</v>
      </c>
      <c r="I6" s="82">
        <v>867.33205679951175</v>
      </c>
      <c r="J6" s="82">
        <v>870.74406663769582</v>
      </c>
      <c r="K6" s="82">
        <v>860.44934552206655</v>
      </c>
      <c r="L6" s="82">
        <v>852.01099908124331</v>
      </c>
      <c r="M6" s="82">
        <v>888.03394092227597</v>
      </c>
      <c r="N6" s="82">
        <v>907.20791992133331</v>
      </c>
      <c r="O6" s="82">
        <v>909.0174544673996</v>
      </c>
      <c r="P6" s="82">
        <v>926.50746960605431</v>
      </c>
      <c r="Q6" s="82">
        <v>919.86301040038461</v>
      </c>
      <c r="R6" s="82">
        <v>898.57581152819705</v>
      </c>
      <c r="S6" s="82">
        <v>921.60269241366939</v>
      </c>
      <c r="T6" s="82">
        <v>934.7872152861047</v>
      </c>
      <c r="U6" s="82">
        <v>910.39956186582276</v>
      </c>
      <c r="V6" s="82">
        <v>889.47914790018706</v>
      </c>
      <c r="W6" s="82">
        <v>873.69470071894693</v>
      </c>
      <c r="X6" s="82">
        <v>862.45307697388535</v>
      </c>
      <c r="Y6" s="82">
        <v>877.65336236047153</v>
      </c>
      <c r="Z6" s="82">
        <v>876.4342238953144</v>
      </c>
      <c r="AA6" s="82">
        <v>899.77381817586729</v>
      </c>
      <c r="AB6" s="82">
        <v>895.42888298184539</v>
      </c>
      <c r="AC6" s="82">
        <v>870.03937835503643</v>
      </c>
      <c r="AD6" s="82">
        <v>884.45511791307888</v>
      </c>
      <c r="AE6" s="82">
        <v>908.87712567892527</v>
      </c>
      <c r="AF6" s="82">
        <v>927.18176589332518</v>
      </c>
      <c r="AG6" s="82">
        <v>934.77312959760673</v>
      </c>
      <c r="AH6" s="82">
        <v>932.31341784665949</v>
      </c>
      <c r="AI6" s="82">
        <v>917.12156981121177</v>
      </c>
    </row>
    <row r="7" spans="1:35" s="12" customFormat="1">
      <c r="A7" s="79" t="s">
        <v>429</v>
      </c>
      <c r="B7" s="82">
        <v>534.95397568795761</v>
      </c>
      <c r="C7" s="82">
        <v>539.34195252480492</v>
      </c>
      <c r="D7" s="82">
        <v>533.4382655056437</v>
      </c>
      <c r="E7" s="82">
        <v>531.69379225713976</v>
      </c>
      <c r="F7" s="82">
        <v>519.71795378593276</v>
      </c>
      <c r="G7" s="82">
        <v>524.0681783667734</v>
      </c>
      <c r="H7" s="82">
        <v>515.73145157662407</v>
      </c>
      <c r="I7" s="82">
        <v>500.98050228332801</v>
      </c>
      <c r="J7" s="82">
        <v>506.4624629057638</v>
      </c>
      <c r="K7" s="82">
        <v>501.63725646401616</v>
      </c>
      <c r="L7" s="82">
        <v>486.08909796489854</v>
      </c>
      <c r="M7" s="82">
        <v>460.60332025285436</v>
      </c>
      <c r="N7" s="82">
        <v>491.62962093155176</v>
      </c>
      <c r="O7" s="82">
        <v>427.74223563469059</v>
      </c>
      <c r="P7" s="82">
        <v>407.47090636478202</v>
      </c>
      <c r="Q7" s="82">
        <v>400.53625681370426</v>
      </c>
      <c r="R7" s="82">
        <v>389.78025516354774</v>
      </c>
      <c r="S7" s="82">
        <v>387.26486770383269</v>
      </c>
      <c r="T7" s="82">
        <v>391.48799843886928</v>
      </c>
      <c r="U7" s="82">
        <v>391.348017839916</v>
      </c>
      <c r="V7" s="82">
        <v>391.03106741154971</v>
      </c>
      <c r="W7" s="82">
        <v>384.33883950500388</v>
      </c>
      <c r="X7" s="82">
        <v>387.78837684033346</v>
      </c>
      <c r="Y7" s="82">
        <v>372.78582123158009</v>
      </c>
      <c r="Z7" s="82">
        <v>376.45818709320525</v>
      </c>
      <c r="AA7" s="82">
        <v>367.51640695193237</v>
      </c>
      <c r="AB7" s="82">
        <v>370.33463685932185</v>
      </c>
      <c r="AC7" s="82">
        <v>370.73451378086844</v>
      </c>
      <c r="AD7" s="82">
        <v>369.32804432752994</v>
      </c>
      <c r="AE7" s="82">
        <v>369.47090361206028</v>
      </c>
      <c r="AF7" s="82">
        <v>371.67283210895346</v>
      </c>
      <c r="AG7" s="82">
        <v>372.62496473739247</v>
      </c>
      <c r="AH7" s="82">
        <v>369.59996818488389</v>
      </c>
      <c r="AI7" s="82">
        <v>371.74528141013371</v>
      </c>
    </row>
    <row r="8" spans="1:35" s="12" customFormat="1">
      <c r="A8" s="79" t="s">
        <v>7</v>
      </c>
      <c r="B8" s="82">
        <v>1816.3694183041723</v>
      </c>
      <c r="C8" s="82">
        <v>1778.449717675941</v>
      </c>
      <c r="D8" s="82">
        <v>1701.9018989317992</v>
      </c>
      <c r="E8" s="82">
        <v>1670.717523755656</v>
      </c>
      <c r="F8" s="82">
        <v>1750.4078465025907</v>
      </c>
      <c r="G8" s="82">
        <v>1855.7655066744051</v>
      </c>
      <c r="H8" s="82">
        <v>1877.5980385445575</v>
      </c>
      <c r="I8" s="82">
        <v>1676.4106292637025</v>
      </c>
      <c r="J8" s="82">
        <v>1838.1535075287868</v>
      </c>
      <c r="K8" s="82">
        <v>1610.6526369816449</v>
      </c>
      <c r="L8" s="82">
        <v>1498.2748819379117</v>
      </c>
      <c r="M8" s="82">
        <v>1377.3894227948465</v>
      </c>
      <c r="N8" s="82">
        <v>1390.9353991236806</v>
      </c>
      <c r="O8" s="82">
        <v>1273.5263740573153</v>
      </c>
      <c r="P8" s="82">
        <v>1830.1341722530321</v>
      </c>
      <c r="Q8" s="82">
        <v>1906.2853366371289</v>
      </c>
      <c r="R8" s="82">
        <v>1867.0910392222877</v>
      </c>
      <c r="S8" s="82">
        <v>1794.6407810542587</v>
      </c>
      <c r="T8" s="82">
        <v>1690.7157184241216</v>
      </c>
      <c r="U8" s="82">
        <v>1620.2567651019049</v>
      </c>
      <c r="V8" s="82">
        <v>1664.9388174834776</v>
      </c>
      <c r="W8" s="82">
        <v>1629.8630145789484</v>
      </c>
      <c r="X8" s="82">
        <v>1495.8769747691595</v>
      </c>
      <c r="Y8" s="82">
        <v>1606.0201425642711</v>
      </c>
      <c r="Z8" s="82">
        <v>1793.9296662706413</v>
      </c>
      <c r="AA8" s="82">
        <v>1624.8209309418553</v>
      </c>
      <c r="AB8" s="82">
        <v>1639.4677875182267</v>
      </c>
      <c r="AC8" s="82">
        <v>1498.3587269450602</v>
      </c>
      <c r="AD8" s="82">
        <v>1651.2139652737533</v>
      </c>
      <c r="AE8" s="82">
        <v>1414.4751904845905</v>
      </c>
      <c r="AF8" s="82">
        <v>1382.3869362837449</v>
      </c>
      <c r="AG8" s="82">
        <v>1745.815487030382</v>
      </c>
      <c r="AH8" s="82">
        <v>1603.1342918827713</v>
      </c>
      <c r="AI8" s="82">
        <v>1382.7474154987131</v>
      </c>
    </row>
    <row r="9" spans="1:35" s="12" customFormat="1">
      <c r="A9" s="79" t="s">
        <v>8</v>
      </c>
      <c r="B9" s="82">
        <v>683.46823391109854</v>
      </c>
      <c r="C9" s="82">
        <v>682.76421700227775</v>
      </c>
      <c r="D9" s="82">
        <v>676.81758467476959</v>
      </c>
      <c r="E9" s="82">
        <v>674.85591793256151</v>
      </c>
      <c r="F9" s="82">
        <v>673.59190146865376</v>
      </c>
      <c r="G9" s="82">
        <v>673.96265476758481</v>
      </c>
      <c r="H9" s="82">
        <v>675.65909210838686</v>
      </c>
      <c r="I9" s="82">
        <v>676.64475336677845</v>
      </c>
      <c r="J9" s="82">
        <v>675.05794176810457</v>
      </c>
      <c r="K9" s="82">
        <v>682.23651635842657</v>
      </c>
      <c r="L9" s="82">
        <v>712.987111319012</v>
      </c>
      <c r="M9" s="82">
        <v>722.82769251465334</v>
      </c>
      <c r="N9" s="82">
        <v>680.44057174147065</v>
      </c>
      <c r="O9" s="82">
        <v>687.77845494681389</v>
      </c>
      <c r="P9" s="82">
        <v>681.14008936078596</v>
      </c>
      <c r="Q9" s="82">
        <v>675.12940388539357</v>
      </c>
      <c r="R9" s="82">
        <v>704.80077272103563</v>
      </c>
      <c r="S9" s="82">
        <v>712.37587403352268</v>
      </c>
      <c r="T9" s="82">
        <v>697.50213522700187</v>
      </c>
      <c r="U9" s="82">
        <v>664.70746118338116</v>
      </c>
      <c r="V9" s="82">
        <v>691.08248870890759</v>
      </c>
      <c r="W9" s="82">
        <v>621.24716692697348</v>
      </c>
      <c r="X9" s="82">
        <v>637.7760223904487</v>
      </c>
      <c r="Y9" s="82">
        <v>565.12038940152206</v>
      </c>
      <c r="Z9" s="82">
        <v>583.61797920133336</v>
      </c>
      <c r="AA9" s="82">
        <v>561.75420141910456</v>
      </c>
      <c r="AB9" s="82">
        <v>547.63710139238685</v>
      </c>
      <c r="AC9" s="82">
        <v>546.99833065966595</v>
      </c>
      <c r="AD9" s="82">
        <v>543.19532532520293</v>
      </c>
      <c r="AE9" s="82">
        <v>535.24302028429724</v>
      </c>
      <c r="AF9" s="82">
        <v>516.95116729375934</v>
      </c>
      <c r="AG9" s="82">
        <v>521.23430915876872</v>
      </c>
      <c r="AH9" s="82">
        <v>536.59845075152919</v>
      </c>
      <c r="AI9" s="82">
        <v>537.96976351225942</v>
      </c>
    </row>
    <row r="10" spans="1:35" s="12" customFormat="1">
      <c r="A10" s="79" t="s">
        <v>9</v>
      </c>
      <c r="B10" s="82">
        <v>1024.7430070940145</v>
      </c>
      <c r="C10" s="82">
        <v>601.22334809149709</v>
      </c>
      <c r="D10" s="82">
        <v>570.08325763765038</v>
      </c>
      <c r="E10" s="82">
        <v>507.02760941394308</v>
      </c>
      <c r="F10" s="82">
        <v>454.31340245209446</v>
      </c>
      <c r="G10" s="82">
        <v>471.83779637807385</v>
      </c>
      <c r="H10" s="82">
        <v>368.00362224343326</v>
      </c>
      <c r="I10" s="82">
        <v>308.24130715710641</v>
      </c>
      <c r="J10" s="82">
        <v>302.6401711349252</v>
      </c>
      <c r="K10" s="82">
        <v>353.10942123560733</v>
      </c>
      <c r="L10" s="82">
        <v>240.69573194352802</v>
      </c>
      <c r="M10" s="82">
        <v>254.04745100901872</v>
      </c>
      <c r="N10" s="82">
        <v>188.41205740866869</v>
      </c>
      <c r="O10" s="82">
        <v>391.68037198042606</v>
      </c>
      <c r="P10" s="82">
        <v>376.34073993949733</v>
      </c>
      <c r="Q10" s="82">
        <v>317.12613313444001</v>
      </c>
      <c r="R10" s="82">
        <v>318.11092539433054</v>
      </c>
      <c r="S10" s="82">
        <v>445.09395465908955</v>
      </c>
      <c r="T10" s="82">
        <v>356.43523817415553</v>
      </c>
      <c r="U10" s="82">
        <v>289.47363733971207</v>
      </c>
      <c r="V10" s="82">
        <v>328.85445751297357</v>
      </c>
      <c r="W10" s="82">
        <v>286.90120177760105</v>
      </c>
      <c r="X10" s="82">
        <v>262.74072767413492</v>
      </c>
      <c r="Y10" s="82">
        <v>194.54606868526571</v>
      </c>
      <c r="Z10" s="82">
        <v>183.62156330786357</v>
      </c>
      <c r="AA10" s="82">
        <v>176.90253325274094</v>
      </c>
      <c r="AB10" s="82">
        <v>183.294886922594</v>
      </c>
      <c r="AC10" s="82">
        <v>177.72163452677546</v>
      </c>
      <c r="AD10" s="82">
        <v>179.90393601342245</v>
      </c>
      <c r="AE10" s="82">
        <v>181.91743867399137</v>
      </c>
      <c r="AF10" s="82">
        <v>176.12107418379034</v>
      </c>
      <c r="AG10" s="82">
        <v>177.11888890448319</v>
      </c>
      <c r="AH10" s="82">
        <v>194.10886866371479</v>
      </c>
      <c r="AI10" s="82">
        <v>217.90932556125824</v>
      </c>
    </row>
    <row r="11" spans="1:35" s="12" customFormat="1">
      <c r="A11" s="80" t="s">
        <v>50</v>
      </c>
      <c r="B11" s="107">
        <v>708.96430485884855</v>
      </c>
      <c r="C11" s="107">
        <v>708.42104089505153</v>
      </c>
      <c r="D11" s="107">
        <v>692.69823751163017</v>
      </c>
      <c r="E11" s="107">
        <v>679.34705320771866</v>
      </c>
      <c r="F11" s="107">
        <v>677.50222530341091</v>
      </c>
      <c r="G11" s="107">
        <v>680.41520372675518</v>
      </c>
      <c r="H11" s="107">
        <v>673.6757635446545</v>
      </c>
      <c r="I11" s="107">
        <v>659.85814280374109</v>
      </c>
      <c r="J11" s="107">
        <v>660.21973933186496</v>
      </c>
      <c r="K11" s="107">
        <v>641.97865987846069</v>
      </c>
      <c r="L11" s="107">
        <v>633.74990967798044</v>
      </c>
      <c r="M11" s="107">
        <v>629.00203941731036</v>
      </c>
      <c r="N11" s="107">
        <v>639.84485190063731</v>
      </c>
      <c r="O11" s="107">
        <v>602.31144014147753</v>
      </c>
      <c r="P11" s="107">
        <v>597.63197095803878</v>
      </c>
      <c r="Q11" s="107">
        <v>571.94196588083423</v>
      </c>
      <c r="R11" s="107">
        <v>562.43191988881256</v>
      </c>
      <c r="S11" s="107">
        <v>549.0732041241514</v>
      </c>
      <c r="T11" s="107">
        <v>542.90199874312066</v>
      </c>
      <c r="U11" s="107">
        <v>528.42856725866034</v>
      </c>
      <c r="V11" s="107">
        <v>526.31268911471773</v>
      </c>
      <c r="W11" s="107">
        <v>523.28081750556555</v>
      </c>
      <c r="X11" s="107">
        <v>532.20088471925976</v>
      </c>
      <c r="Y11" s="107">
        <v>508.51936835408407</v>
      </c>
      <c r="Z11" s="107">
        <v>516.53639706164859</v>
      </c>
      <c r="AA11" s="107">
        <v>492.3030381344243</v>
      </c>
      <c r="AB11" s="107">
        <v>470.66104108873679</v>
      </c>
      <c r="AC11" s="107">
        <v>450.18648326345698</v>
      </c>
      <c r="AD11" s="107">
        <v>449.51733448035259</v>
      </c>
      <c r="AE11" s="107">
        <v>420.57379487934031</v>
      </c>
      <c r="AF11" s="107">
        <v>405.19183200859823</v>
      </c>
      <c r="AG11" s="107">
        <v>410.85624873584749</v>
      </c>
      <c r="AH11" s="107">
        <v>435.14555352238449</v>
      </c>
      <c r="AI11" s="107">
        <v>414.8695322013341</v>
      </c>
    </row>
    <row r="12" spans="1:35">
      <c r="A12" s="44" t="s">
        <v>441</v>
      </c>
    </row>
    <row r="13" spans="1:35">
      <c r="N13" s="97"/>
      <c r="O13" s="104"/>
      <c r="P13" s="104"/>
      <c r="Q13" s="104"/>
      <c r="R13" s="104"/>
      <c r="S13" s="104"/>
      <c r="T13" s="104"/>
      <c r="U13" s="104"/>
      <c r="V13" s="108"/>
      <c r="W13" s="108"/>
      <c r="X13" s="108"/>
      <c r="Y13" s="104"/>
      <c r="Z13" s="126"/>
      <c r="AA13" s="126"/>
      <c r="AB13" s="126"/>
      <c r="AC13" s="126"/>
      <c r="AD13" s="126"/>
      <c r="AE13" s="126"/>
      <c r="AF13" s="126"/>
      <c r="AG13" s="126"/>
    </row>
    <row r="14" spans="1:35">
      <c r="S14" s="95"/>
      <c r="T14" s="95"/>
      <c r="U14" s="95"/>
      <c r="V14" s="109"/>
      <c r="W14" s="109"/>
      <c r="X14" s="109"/>
      <c r="Y14" s="95"/>
      <c r="Z14" s="127"/>
      <c r="AA14" s="127"/>
      <c r="AB14" s="127"/>
      <c r="AC14" s="127"/>
      <c r="AD14" s="127"/>
      <c r="AE14" s="127"/>
      <c r="AF14" s="127"/>
      <c r="AG14" s="127"/>
    </row>
    <row r="15" spans="1:35">
      <c r="M15" s="95"/>
      <c r="N15" s="95"/>
      <c r="O15" s="95"/>
      <c r="P15" s="95"/>
      <c r="Q15" s="95"/>
      <c r="R15" s="95"/>
      <c r="S15" s="95"/>
      <c r="T15" s="95"/>
      <c r="U15" s="95"/>
      <c r="V15" s="109"/>
      <c r="W15" s="109"/>
      <c r="X15" s="109"/>
      <c r="Y15" s="95"/>
      <c r="Z15" s="127"/>
    </row>
    <row r="16" spans="1:35">
      <c r="M16" s="95"/>
      <c r="N16" s="95"/>
      <c r="O16" s="95"/>
      <c r="P16" s="95"/>
      <c r="Q16" s="95"/>
      <c r="R16" s="95"/>
      <c r="S16" s="95"/>
      <c r="T16" s="95"/>
      <c r="U16" s="95"/>
      <c r="V16" s="109"/>
      <c r="W16" s="109"/>
      <c r="X16" s="109"/>
      <c r="Y16" s="95"/>
      <c r="Z16" s="127"/>
      <c r="AA16" s="127"/>
      <c r="AB16" s="127"/>
      <c r="AC16" s="127"/>
      <c r="AD16" s="127"/>
      <c r="AE16" s="127"/>
      <c r="AF16" s="127"/>
      <c r="AG16" s="127"/>
    </row>
    <row r="17" spans="2:48">
      <c r="M17" s="95"/>
      <c r="N17" s="95"/>
      <c r="O17" s="95"/>
      <c r="P17" s="95"/>
      <c r="Q17" s="95"/>
      <c r="R17" s="95"/>
      <c r="S17" s="95"/>
      <c r="T17" s="95"/>
      <c r="U17" s="95"/>
      <c r="V17" s="109"/>
      <c r="W17" s="109"/>
      <c r="X17" s="109"/>
      <c r="Y17" s="95"/>
      <c r="Z17" s="127"/>
      <c r="AA17" s="127"/>
      <c r="AB17" s="127"/>
      <c r="AC17" s="127"/>
      <c r="AD17" s="127"/>
      <c r="AE17" s="127"/>
      <c r="AF17" s="127"/>
      <c r="AG17" s="127"/>
    </row>
    <row r="18" spans="2:48">
      <c r="M18" s="95"/>
      <c r="N18" s="95"/>
      <c r="O18" s="95"/>
      <c r="P18" s="95"/>
      <c r="Q18" s="95"/>
      <c r="R18" s="95"/>
      <c r="S18" s="95"/>
      <c r="T18" s="95"/>
      <c r="U18" s="95"/>
      <c r="V18" s="109"/>
      <c r="W18" s="109"/>
      <c r="X18" s="109"/>
      <c r="Y18" s="95"/>
      <c r="Z18" s="127"/>
      <c r="AA18" s="127"/>
      <c r="AB18" s="127"/>
      <c r="AC18" s="127"/>
    </row>
    <row r="19" spans="2:48">
      <c r="M19" s="95"/>
      <c r="N19" s="95"/>
      <c r="O19" s="95"/>
      <c r="P19" s="95"/>
      <c r="Q19" s="95"/>
      <c r="R19" s="95"/>
      <c r="S19" s="95"/>
      <c r="T19" s="95"/>
      <c r="U19" s="95"/>
      <c r="V19" s="95"/>
      <c r="W19" s="95"/>
      <c r="X19" s="95"/>
      <c r="Y19" s="95"/>
      <c r="Z19" s="127"/>
      <c r="AA19" s="127"/>
      <c r="AB19" s="127"/>
      <c r="AC19" s="127"/>
      <c r="AL19" s="467"/>
      <c r="AM19" s="95"/>
    </row>
    <row r="20" spans="2:48">
      <c r="B20" s="94"/>
      <c r="C20" s="94"/>
      <c r="D20" s="94"/>
      <c r="E20" s="94"/>
      <c r="F20" s="94"/>
      <c r="G20" s="94"/>
      <c r="H20" s="94"/>
      <c r="I20" s="94"/>
      <c r="J20" s="94"/>
      <c r="K20" s="94"/>
      <c r="L20" s="94"/>
      <c r="M20" s="94"/>
      <c r="N20" s="94"/>
      <c r="O20" s="94"/>
      <c r="P20" s="94"/>
      <c r="Q20" s="94"/>
      <c r="R20" s="94"/>
      <c r="S20" s="94"/>
      <c r="T20" s="94"/>
      <c r="U20" s="94"/>
      <c r="AL20" s="467"/>
      <c r="AM20" s="95"/>
      <c r="AT20"/>
      <c r="AU20"/>
      <c r="AV20"/>
    </row>
    <row r="21" spans="2:48">
      <c r="B21" s="94"/>
      <c r="C21" s="94"/>
      <c r="D21" s="94"/>
      <c r="E21" s="94"/>
      <c r="F21" s="94"/>
      <c r="G21" s="94"/>
      <c r="H21" s="94"/>
      <c r="I21" s="94"/>
      <c r="J21" s="94"/>
      <c r="K21" s="94"/>
      <c r="L21" s="94"/>
    </row>
    <row r="22" spans="2:48">
      <c r="B22" s="94"/>
      <c r="C22" s="94"/>
      <c r="D22" s="94"/>
      <c r="E22" s="94"/>
      <c r="F22" s="94"/>
      <c r="G22" s="94"/>
      <c r="H22" s="94"/>
      <c r="I22" s="94"/>
      <c r="J22" s="94"/>
      <c r="K22" s="94"/>
      <c r="L22" s="94"/>
      <c r="M22" s="94"/>
      <c r="N22" s="94"/>
      <c r="O22" s="94"/>
      <c r="P22" s="94"/>
      <c r="Q22" s="94"/>
      <c r="R22" s="94"/>
      <c r="S22" s="94"/>
      <c r="T22" s="94"/>
      <c r="U22" s="94"/>
      <c r="AT22"/>
      <c r="AU22"/>
      <c r="AV22"/>
    </row>
    <row r="23" spans="2:48">
      <c r="B23" s="94"/>
      <c r="C23" s="94"/>
      <c r="D23" s="94"/>
      <c r="E23" s="94"/>
      <c r="F23" s="94"/>
      <c r="G23" s="94"/>
      <c r="H23" s="94"/>
      <c r="I23" s="94"/>
      <c r="J23" s="94"/>
      <c r="K23" s="94"/>
      <c r="L23" s="94"/>
      <c r="M23" s="94"/>
      <c r="N23" s="94"/>
      <c r="O23" s="94"/>
      <c r="P23" s="94"/>
      <c r="Q23" s="94"/>
      <c r="R23" s="94"/>
      <c r="S23" s="94"/>
      <c r="T23" s="94"/>
      <c r="U23" s="94"/>
      <c r="AC23" s="127"/>
      <c r="AH23" s="143"/>
      <c r="AI23" s="143"/>
      <c r="AJ23" s="95"/>
      <c r="AM23" s="143"/>
      <c r="AN23" s="108"/>
      <c r="AO23" s="466"/>
      <c r="AT23"/>
      <c r="AU23"/>
      <c r="AV23"/>
    </row>
    <row r="24" spans="2:48">
      <c r="B24" s="94"/>
      <c r="C24" s="94"/>
      <c r="D24" s="94"/>
      <c r="E24" s="94"/>
      <c r="F24" s="94"/>
      <c r="G24" s="94"/>
      <c r="H24" s="94"/>
      <c r="I24" s="94"/>
      <c r="J24" s="94"/>
      <c r="K24" s="94"/>
      <c r="L24" s="94"/>
      <c r="M24" s="94"/>
      <c r="N24" s="94"/>
      <c r="O24" s="94"/>
      <c r="P24" s="94"/>
      <c r="Q24" s="94"/>
      <c r="R24" s="94"/>
      <c r="S24" s="94"/>
      <c r="T24" s="94"/>
      <c r="U24" s="94"/>
      <c r="AH24" s="143"/>
      <c r="AI24" s="143"/>
      <c r="AJ24" s="95"/>
      <c r="AM24" s="143"/>
      <c r="AN24" s="108"/>
      <c r="AO24" s="466"/>
      <c r="AP24" s="466"/>
      <c r="AT24"/>
      <c r="AU24"/>
      <c r="AV24"/>
    </row>
    <row r="25" spans="2:48">
      <c r="B25" s="94"/>
      <c r="C25" s="94"/>
      <c r="D25" s="94"/>
      <c r="E25" s="94"/>
      <c r="F25" s="94"/>
      <c r="G25" s="94"/>
      <c r="H25" s="94"/>
      <c r="I25" s="94"/>
      <c r="J25" s="94"/>
      <c r="K25" s="94"/>
      <c r="L25" s="94"/>
      <c r="M25" s="94"/>
      <c r="N25" s="94"/>
      <c r="O25" s="94"/>
      <c r="P25" s="94"/>
      <c r="Q25" s="94"/>
      <c r="R25" s="94"/>
      <c r="S25" s="94"/>
      <c r="T25" s="94"/>
      <c r="U25" s="94"/>
      <c r="AT25"/>
      <c r="AU25"/>
      <c r="AV25"/>
    </row>
    <row r="26" spans="2:48">
      <c r="B26" s="94"/>
      <c r="C26" s="94"/>
      <c r="D26" s="94"/>
      <c r="E26" s="94"/>
      <c r="F26" s="94"/>
      <c r="G26" s="94"/>
      <c r="H26" s="94"/>
      <c r="I26" s="94"/>
      <c r="J26" s="94"/>
      <c r="K26" s="94"/>
      <c r="L26" s="94"/>
      <c r="M26" s="94"/>
      <c r="N26" s="94"/>
      <c r="O26" s="94"/>
      <c r="P26" s="94"/>
      <c r="Q26" s="94"/>
      <c r="R26" s="94"/>
      <c r="S26" s="94"/>
      <c r="T26" s="94"/>
      <c r="U26" s="94"/>
      <c r="AC26" s="127"/>
      <c r="AH26" s="95"/>
      <c r="AI26" s="95"/>
      <c r="AL26" s="95"/>
      <c r="AT26"/>
      <c r="AU26"/>
      <c r="AV26"/>
    </row>
    <row r="27" spans="2:48">
      <c r="B27" s="94"/>
      <c r="C27" s="94"/>
      <c r="D27" s="94"/>
      <c r="E27" s="94"/>
      <c r="F27" s="94"/>
      <c r="G27" s="94"/>
      <c r="H27" s="94"/>
      <c r="I27" s="94"/>
      <c r="J27" s="94"/>
      <c r="K27" s="94"/>
      <c r="L27" s="94"/>
      <c r="M27" s="94"/>
      <c r="N27" s="94"/>
      <c r="O27" s="94"/>
      <c r="P27" s="94"/>
      <c r="Q27" s="94"/>
      <c r="R27" s="94"/>
      <c r="S27" s="94"/>
      <c r="T27" s="94"/>
      <c r="U27" s="94"/>
      <c r="AH27" s="95"/>
      <c r="AI27" s="95"/>
      <c r="AL27" s="95"/>
      <c r="AT27"/>
      <c r="AU27"/>
      <c r="AV27"/>
    </row>
    <row r="28" spans="2:48">
      <c r="B28" s="94"/>
      <c r="C28" s="94"/>
      <c r="D28" s="94"/>
      <c r="E28" s="94"/>
      <c r="F28" s="94"/>
      <c r="G28" s="94"/>
      <c r="H28" s="94"/>
      <c r="I28" s="94"/>
      <c r="J28" s="94"/>
      <c r="K28" s="94"/>
      <c r="L28" s="94"/>
      <c r="M28" s="94"/>
      <c r="N28" s="94"/>
      <c r="O28" s="94"/>
      <c r="P28" s="94"/>
      <c r="Q28" s="94"/>
      <c r="R28" s="94"/>
      <c r="S28" s="94"/>
      <c r="T28" s="94"/>
      <c r="U28" s="94"/>
      <c r="AT28"/>
      <c r="AU28"/>
      <c r="AV28"/>
    </row>
    <row r="29" spans="2:48">
      <c r="M29" s="94"/>
      <c r="N29" s="94"/>
      <c r="O29" s="94"/>
      <c r="P29" s="94"/>
      <c r="Q29" s="94"/>
      <c r="R29" s="94"/>
      <c r="S29" s="94"/>
      <c r="T29" s="94"/>
      <c r="U29" s="94"/>
      <c r="AT29"/>
      <c r="AU29"/>
      <c r="AV29"/>
    </row>
    <row r="30" spans="2:48">
      <c r="M30" s="94"/>
      <c r="N30" s="94"/>
      <c r="O30" s="94"/>
      <c r="P30" s="94"/>
      <c r="Q30" s="94"/>
      <c r="R30" s="94"/>
      <c r="S30" s="94"/>
      <c r="T30" s="94"/>
      <c r="U30" s="94"/>
      <c r="AT30"/>
      <c r="AU30"/>
      <c r="AV30"/>
    </row>
    <row r="31" spans="2:48">
      <c r="M31" s="94"/>
      <c r="N31" s="94"/>
      <c r="O31" s="94"/>
      <c r="P31" s="94"/>
      <c r="Q31" s="94"/>
      <c r="R31" s="94"/>
      <c r="S31" s="94"/>
      <c r="T31" s="94"/>
      <c r="U31" s="94"/>
      <c r="AC31" s="127"/>
      <c r="AT31"/>
      <c r="AU31"/>
      <c r="AV31"/>
    </row>
    <row r="32" spans="2:48">
      <c r="M32" s="94"/>
      <c r="N32" s="94"/>
      <c r="O32" s="94"/>
      <c r="P32" s="94"/>
      <c r="Q32" s="94"/>
      <c r="R32" s="94"/>
      <c r="S32" s="94"/>
      <c r="T32" s="94"/>
      <c r="U32" s="94"/>
      <c r="AC32" s="127"/>
      <c r="AL32" s="467"/>
      <c r="AM32" s="95"/>
      <c r="AT32"/>
      <c r="AU32"/>
      <c r="AV32"/>
    </row>
    <row r="33" spans="2:48">
      <c r="AL33" s="467"/>
      <c r="AM33" s="95"/>
      <c r="AT33"/>
      <c r="AU33"/>
      <c r="AV33"/>
    </row>
    <row r="34" spans="2:48">
      <c r="AT34"/>
      <c r="AU34"/>
      <c r="AV34"/>
    </row>
    <row r="35" spans="2:48">
      <c r="AT35"/>
      <c r="AU35"/>
      <c r="AV35"/>
    </row>
    <row r="36" spans="2:48">
      <c r="AC36" s="127"/>
      <c r="AH36" s="143"/>
      <c r="AI36" s="143"/>
      <c r="AJ36" s="95"/>
      <c r="AL36" s="95"/>
      <c r="AM36" s="143"/>
      <c r="AN36" s="108"/>
      <c r="AO36" s="466"/>
      <c r="AQ36" s="108"/>
      <c r="AT36"/>
      <c r="AU36"/>
      <c r="AV36"/>
    </row>
    <row r="37" spans="2:48">
      <c r="B37" s="105"/>
      <c r="C37" s="105"/>
      <c r="D37" s="105"/>
      <c r="E37" s="105"/>
      <c r="F37" s="105"/>
      <c r="G37" s="105"/>
      <c r="H37" s="105"/>
      <c r="I37" s="105"/>
      <c r="J37" s="105"/>
      <c r="K37" s="105"/>
      <c r="L37" s="105"/>
      <c r="M37" s="105"/>
      <c r="N37" s="105"/>
      <c r="O37" s="105"/>
      <c r="P37" s="105"/>
      <c r="Q37" s="105"/>
      <c r="R37" s="105"/>
      <c r="S37" s="105"/>
      <c r="T37" s="105"/>
      <c r="U37" s="105"/>
      <c r="AH37" s="143"/>
      <c r="AI37" s="143"/>
      <c r="AJ37" s="95"/>
      <c r="AL37" s="95"/>
      <c r="AM37" s="143"/>
      <c r="AN37" s="108"/>
      <c r="AO37" s="466"/>
      <c r="AP37" s="466"/>
      <c r="AQ37" s="108"/>
      <c r="AR37"/>
      <c r="AS37"/>
      <c r="AT37"/>
      <c r="AU37"/>
      <c r="AV37"/>
    </row>
    <row r="38" spans="2:48">
      <c r="B38" s="105"/>
      <c r="C38" s="105"/>
      <c r="D38" s="105"/>
      <c r="E38" s="105"/>
      <c r="F38" s="105"/>
      <c r="G38" s="105"/>
      <c r="H38" s="105"/>
      <c r="I38" s="105"/>
      <c r="J38" s="105"/>
      <c r="K38" s="105"/>
      <c r="L38" s="105"/>
      <c r="M38" s="105"/>
      <c r="N38" s="105"/>
      <c r="O38" s="105"/>
      <c r="P38" s="105"/>
      <c r="Q38" s="105"/>
      <c r="R38" s="105"/>
      <c r="S38" s="105"/>
      <c r="T38" s="105"/>
      <c r="U38" s="105"/>
      <c r="AQ38"/>
      <c r="AR38"/>
      <c r="AS38"/>
      <c r="AT38"/>
      <c r="AU38"/>
      <c r="AV38"/>
    </row>
    <row r="39" spans="2:48">
      <c r="B39" s="105"/>
      <c r="C39" s="105"/>
      <c r="D39" s="105"/>
      <c r="E39" s="105"/>
      <c r="F39" s="105"/>
      <c r="G39" s="105"/>
      <c r="H39" s="105"/>
      <c r="I39" s="105"/>
      <c r="J39" s="105"/>
      <c r="K39" s="105"/>
      <c r="L39" s="105"/>
      <c r="M39" s="105"/>
      <c r="N39" s="105"/>
      <c r="O39" s="105"/>
      <c r="P39" s="105"/>
      <c r="Q39" s="105"/>
      <c r="R39" s="105"/>
      <c r="S39" s="105"/>
      <c r="T39" s="105"/>
      <c r="U39" s="105"/>
      <c r="AC39" s="127"/>
      <c r="AH39" s="95"/>
      <c r="AI39" s="95"/>
      <c r="AL39" s="95"/>
      <c r="AQ39"/>
      <c r="AR39"/>
      <c r="AS39"/>
      <c r="AT39"/>
      <c r="AU39"/>
      <c r="AV39"/>
    </row>
    <row r="40" spans="2:48">
      <c r="B40" s="105"/>
      <c r="C40" s="105"/>
      <c r="D40" s="105"/>
      <c r="E40" s="105"/>
      <c r="F40" s="105"/>
      <c r="G40" s="105"/>
      <c r="H40" s="105"/>
      <c r="I40" s="105"/>
      <c r="J40" s="105"/>
      <c r="K40" s="105"/>
      <c r="L40" s="105"/>
      <c r="M40" s="105"/>
      <c r="N40" s="105"/>
      <c r="O40" s="105"/>
      <c r="P40" s="105"/>
      <c r="Q40" s="105"/>
      <c r="R40" s="105"/>
      <c r="S40" s="105"/>
      <c r="T40" s="105"/>
      <c r="U40" s="105"/>
      <c r="AH40" s="95"/>
      <c r="AI40" s="95"/>
      <c r="AL40" s="95"/>
      <c r="AQ40"/>
      <c r="AR40"/>
      <c r="AS40"/>
      <c r="AT40"/>
      <c r="AU40"/>
      <c r="AV40"/>
    </row>
    <row r="41" spans="2:48">
      <c r="B41" s="105"/>
      <c r="C41" s="105"/>
      <c r="D41" s="105"/>
      <c r="E41" s="105"/>
      <c r="F41" s="105"/>
      <c r="G41" s="105"/>
      <c r="H41" s="105"/>
      <c r="I41" s="105"/>
      <c r="J41" s="105"/>
      <c r="K41" s="105"/>
      <c r="L41" s="105"/>
      <c r="M41" s="105"/>
      <c r="N41" s="105"/>
      <c r="O41" s="105"/>
      <c r="P41" s="105"/>
      <c r="Q41" s="105"/>
      <c r="R41" s="105"/>
      <c r="S41" s="105"/>
      <c r="T41" s="105"/>
      <c r="U41" s="105"/>
      <c r="AQ41"/>
      <c r="AR41"/>
      <c r="AS41"/>
      <c r="AT41"/>
      <c r="AU41"/>
      <c r="AV41"/>
    </row>
    <row r="42" spans="2:48">
      <c r="B42" s="105"/>
      <c r="C42" s="105"/>
      <c r="D42" s="105"/>
      <c r="E42" s="105"/>
      <c r="F42" s="105"/>
      <c r="G42" s="105"/>
      <c r="H42" s="105"/>
      <c r="I42" s="105"/>
      <c r="J42" s="105"/>
      <c r="K42" s="105"/>
      <c r="L42" s="105"/>
      <c r="M42" s="105"/>
      <c r="N42" s="105"/>
      <c r="O42" s="105"/>
      <c r="P42" s="105"/>
      <c r="Q42" s="105"/>
      <c r="R42" s="105"/>
      <c r="S42" s="105"/>
      <c r="T42" s="105"/>
      <c r="U42" s="105"/>
      <c r="AQ42"/>
      <c r="AR42"/>
      <c r="AS42"/>
      <c r="AT42"/>
      <c r="AU42"/>
      <c r="AV42"/>
    </row>
    <row r="43" spans="2:48">
      <c r="AQ43"/>
      <c r="AR43"/>
      <c r="AS43"/>
      <c r="AT43"/>
      <c r="AU43"/>
      <c r="AV43"/>
    </row>
    <row r="44" spans="2:48">
      <c r="AK44" s="143"/>
      <c r="AQ44"/>
      <c r="AR44"/>
      <c r="AS44"/>
      <c r="AT44"/>
      <c r="AU44"/>
      <c r="AV44"/>
    </row>
    <row r="45" spans="2:48">
      <c r="AK45" s="143"/>
      <c r="AQ45"/>
      <c r="AR45"/>
      <c r="AS45"/>
      <c r="AT45"/>
      <c r="AU45"/>
      <c r="AV45"/>
    </row>
    <row r="46" spans="2:48">
      <c r="AK46" s="143"/>
      <c r="AQ46"/>
      <c r="AR46"/>
      <c r="AS46"/>
      <c r="AT46"/>
      <c r="AU46"/>
      <c r="AV46"/>
    </row>
    <row r="47" spans="2:48">
      <c r="AK47" s="143"/>
      <c r="AQ47"/>
      <c r="AR47"/>
      <c r="AS47"/>
      <c r="AT47"/>
      <c r="AU47"/>
      <c r="AV47"/>
    </row>
    <row r="48" spans="2:48">
      <c r="AK48" s="466"/>
      <c r="AQ48"/>
      <c r="AR48"/>
      <c r="AS48"/>
      <c r="AT48"/>
      <c r="AU48"/>
      <c r="AV48"/>
    </row>
    <row r="49" spans="22:48">
      <c r="AK49" s="466"/>
      <c r="AQ49"/>
      <c r="AR49"/>
      <c r="AS49"/>
      <c r="AT49"/>
      <c r="AU49"/>
      <c r="AV49"/>
    </row>
    <row r="50" spans="22:48">
      <c r="AK50" s="466"/>
      <c r="AQ50"/>
      <c r="AR50"/>
      <c r="AS50"/>
      <c r="AT50"/>
      <c r="AU50"/>
      <c r="AV50"/>
    </row>
    <row r="51" spans="22:48">
      <c r="V51"/>
      <c r="W51"/>
      <c r="X51"/>
      <c r="Y51"/>
      <c r="Z51"/>
      <c r="AA51"/>
      <c r="AB51"/>
      <c r="AC51"/>
      <c r="AD51"/>
      <c r="AE51"/>
      <c r="AF51"/>
      <c r="AG51"/>
      <c r="AH51"/>
      <c r="AI51"/>
      <c r="AJ51"/>
      <c r="AK51" s="466"/>
      <c r="AL51"/>
      <c r="AM51"/>
      <c r="AN51"/>
      <c r="AO51"/>
      <c r="AP51"/>
      <c r="AQ51"/>
      <c r="AR51"/>
      <c r="AS51"/>
      <c r="AT51"/>
      <c r="AU51"/>
      <c r="AV51"/>
    </row>
    <row r="52" spans="22:48">
      <c r="V52"/>
      <c r="W52"/>
      <c r="X52"/>
      <c r="Y52"/>
      <c r="Z52"/>
      <c r="AA52"/>
      <c r="AB52"/>
      <c r="AC52"/>
      <c r="AD52"/>
      <c r="AE52"/>
      <c r="AF52"/>
      <c r="AG52"/>
      <c r="AH52"/>
      <c r="AI52"/>
      <c r="AJ52"/>
      <c r="AK52" s="466"/>
      <c r="AL52" s="466"/>
      <c r="AN52"/>
      <c r="AO52"/>
      <c r="AP52"/>
      <c r="AQ52"/>
      <c r="AR52"/>
      <c r="AS52"/>
      <c r="AT52"/>
      <c r="AU52"/>
      <c r="AV52"/>
    </row>
    <row r="53" spans="22:48">
      <c r="V53"/>
      <c r="W53"/>
      <c r="X53"/>
      <c r="Y53"/>
      <c r="Z53"/>
      <c r="AA53"/>
      <c r="AB53"/>
      <c r="AC53"/>
      <c r="AD53"/>
      <c r="AE53"/>
      <c r="AF53"/>
      <c r="AG53"/>
      <c r="AH53"/>
      <c r="AI53"/>
      <c r="AJ53"/>
      <c r="AK53" s="466"/>
      <c r="AL53" s="466"/>
      <c r="AN53"/>
      <c r="AO53"/>
      <c r="AP53"/>
      <c r="AQ53"/>
      <c r="AR53"/>
      <c r="AS53"/>
      <c r="AT53"/>
      <c r="AU53"/>
      <c r="AV53"/>
    </row>
    <row r="54" spans="22:48">
      <c r="AK54" s="466"/>
      <c r="AL54" s="466"/>
    </row>
    <row r="55" spans="22:48">
      <c r="AK55" s="466"/>
      <c r="AL55" s="466"/>
    </row>
    <row r="56" spans="22:48">
      <c r="AK56" s="468"/>
    </row>
    <row r="57" spans="22:48">
      <c r="AK57" s="468"/>
    </row>
    <row r="58" spans="22:48">
      <c r="AK58" s="468"/>
    </row>
    <row r="59" spans="22:48">
      <c r="AK59" s="468"/>
    </row>
    <row r="60" spans="22:48">
      <c r="AK60" s="466"/>
    </row>
    <row r="61" spans="22:48">
      <c r="AK61" s="466"/>
    </row>
    <row r="62" spans="22:48">
      <c r="AK62" s="466"/>
    </row>
    <row r="63" spans="22:48">
      <c r="AK63" s="466"/>
    </row>
  </sheetData>
  <mergeCells count="1">
    <mergeCell ref="A4:A5"/>
  </mergeCells>
  <hyperlinks>
    <hyperlink ref="A1" location="Indice!A1" display="Torna indietro" xr:uid="{00000000-0004-0000-0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7"/>
  <dimension ref="A1:AL37"/>
  <sheetViews>
    <sheetView showGridLines="0" topLeftCell="A4" zoomScale="85" zoomScaleNormal="85" workbookViewId="0">
      <selection activeCell="O30" sqref="O30"/>
    </sheetView>
  </sheetViews>
  <sheetFormatPr defaultColWidth="9.21875" defaultRowHeight="15.6"/>
  <cols>
    <col min="1" max="1" width="37.21875" style="12" customWidth="1"/>
    <col min="2" max="2" width="6.33203125" style="12" customWidth="1"/>
    <col min="3" max="6" width="0.109375" style="12" customWidth="1"/>
    <col min="7" max="7" width="6.33203125" style="12" bestFit="1" customWidth="1"/>
    <col min="8" max="11" width="0.109375" style="12" customWidth="1"/>
    <col min="12" max="12" width="6.33203125" style="12" bestFit="1" customWidth="1"/>
    <col min="13" max="16" width="0.109375" style="12" customWidth="1"/>
    <col min="17" max="17" width="6.33203125" style="12" customWidth="1"/>
    <col min="18" max="21" width="0.109375" style="12" customWidth="1"/>
    <col min="22" max="22" width="6.33203125" style="12" bestFit="1" customWidth="1"/>
    <col min="23" max="25" width="0.109375" style="12" customWidth="1"/>
    <col min="26" max="26" width="0.109375" style="46" customWidth="1"/>
    <col min="27" max="27" width="6.33203125" style="46" bestFit="1" customWidth="1"/>
    <col min="28" max="31" width="0.109375" style="46" customWidth="1"/>
    <col min="32" max="35" width="8" style="46" bestFit="1" customWidth="1"/>
    <col min="36" max="36" width="8.44140625" style="46" bestFit="1" customWidth="1"/>
    <col min="37" max="37" width="20" style="12" bestFit="1" customWidth="1"/>
    <col min="38" max="16384" width="9.21875" style="12"/>
  </cols>
  <sheetData>
    <row r="1" spans="1:38">
      <c r="A1" s="608" t="s">
        <v>57</v>
      </c>
      <c r="B1" s="608"/>
    </row>
    <row r="3" spans="1:38">
      <c r="A3" s="47" t="s">
        <v>626</v>
      </c>
    </row>
    <row r="4" spans="1:38" ht="16.2">
      <c r="A4" s="884"/>
      <c r="B4" s="86">
        <v>1990</v>
      </c>
      <c r="C4" s="86">
        <v>1991</v>
      </c>
      <c r="D4" s="86">
        <v>1992</v>
      </c>
      <c r="E4" s="86">
        <v>1993</v>
      </c>
      <c r="F4" s="86">
        <v>1994</v>
      </c>
      <c r="G4" s="86">
        <v>1995</v>
      </c>
      <c r="H4" s="86">
        <v>1996</v>
      </c>
      <c r="I4" s="86">
        <v>1997</v>
      </c>
      <c r="J4" s="86">
        <v>1998</v>
      </c>
      <c r="K4" s="86">
        <v>1999</v>
      </c>
      <c r="L4" s="86">
        <v>2000</v>
      </c>
      <c r="M4" s="86">
        <v>2001</v>
      </c>
      <c r="N4" s="86">
        <v>2002</v>
      </c>
      <c r="O4" s="86">
        <v>2003</v>
      </c>
      <c r="P4" s="86">
        <v>2004</v>
      </c>
      <c r="Q4" s="86">
        <v>2005</v>
      </c>
      <c r="R4" s="86">
        <v>2006</v>
      </c>
      <c r="S4" s="86">
        <v>2007</v>
      </c>
      <c r="T4" s="86">
        <v>2008</v>
      </c>
      <c r="U4" s="86">
        <v>2009</v>
      </c>
      <c r="V4" s="86">
        <v>2010</v>
      </c>
      <c r="W4" s="86">
        <v>2011</v>
      </c>
      <c r="X4" s="86">
        <v>2012</v>
      </c>
      <c r="Y4" s="86">
        <v>2013</v>
      </c>
      <c r="Z4" s="86">
        <v>2014</v>
      </c>
      <c r="AA4" s="86">
        <v>2015</v>
      </c>
      <c r="AB4" s="86">
        <v>2016</v>
      </c>
      <c r="AC4" s="86">
        <v>2017</v>
      </c>
      <c r="AD4" s="86">
        <v>2018</v>
      </c>
      <c r="AE4" s="86">
        <v>2019</v>
      </c>
      <c r="AF4" s="86">
        <v>2020</v>
      </c>
      <c r="AG4" s="86">
        <v>2021</v>
      </c>
      <c r="AH4" s="86">
        <v>2022</v>
      </c>
      <c r="AI4" s="86">
        <v>2023</v>
      </c>
      <c r="AJ4" s="315" t="s">
        <v>597</v>
      </c>
    </row>
    <row r="5" spans="1:38">
      <c r="A5" s="885"/>
      <c r="B5" s="87" t="s">
        <v>129</v>
      </c>
      <c r="C5" s="88"/>
      <c r="D5" s="88"/>
      <c r="E5" s="88"/>
      <c r="F5" s="88"/>
      <c r="G5" s="88"/>
      <c r="H5" s="88"/>
      <c r="I5" s="88"/>
      <c r="J5" s="88"/>
      <c r="K5" s="88"/>
      <c r="L5" s="88"/>
      <c r="M5" s="88"/>
      <c r="N5" s="88"/>
      <c r="O5" s="88"/>
      <c r="P5" s="88"/>
      <c r="Q5" s="88"/>
      <c r="R5" s="88"/>
      <c r="S5" s="88"/>
      <c r="T5" s="88"/>
      <c r="U5" s="88"/>
      <c r="V5" s="88"/>
      <c r="W5" s="89"/>
      <c r="X5" s="89"/>
      <c r="Y5" s="89"/>
      <c r="Z5" s="89"/>
      <c r="AA5" s="89"/>
      <c r="AB5" s="89"/>
      <c r="AC5" s="89"/>
      <c r="AD5" s="89"/>
      <c r="AE5" s="89"/>
      <c r="AF5" s="89"/>
      <c r="AG5" s="89"/>
      <c r="AH5" s="89"/>
      <c r="AI5" s="89"/>
      <c r="AJ5" s="89"/>
    </row>
    <row r="6" spans="1:38">
      <c r="A6" s="83" t="s">
        <v>95</v>
      </c>
      <c r="B6" s="831">
        <v>216.6</v>
      </c>
      <c r="C6" s="831">
        <v>221.81649999999999</v>
      </c>
      <c r="D6" s="831">
        <v>226.25399999999999</v>
      </c>
      <c r="E6" s="831">
        <v>222.80199999999999</v>
      </c>
      <c r="F6" s="831">
        <v>231.81269999999998</v>
      </c>
      <c r="G6" s="831">
        <v>241.48829999999998</v>
      </c>
      <c r="H6" s="831">
        <v>244.43170000000001</v>
      </c>
      <c r="I6" s="831">
        <v>251.46979999999999</v>
      </c>
      <c r="J6" s="831">
        <v>259.79400000000004</v>
      </c>
      <c r="K6" s="831">
        <v>265.6592</v>
      </c>
      <c r="L6" s="831">
        <v>276.64229999999998</v>
      </c>
      <c r="M6" s="831">
        <v>279.0086</v>
      </c>
      <c r="N6" s="831">
        <v>285.27679999999998</v>
      </c>
      <c r="O6" s="831">
        <v>293.88390000000004</v>
      </c>
      <c r="P6" s="831">
        <v>303.34819999999996</v>
      </c>
      <c r="Q6" s="831">
        <v>303.6979</v>
      </c>
      <c r="R6" s="831">
        <v>314.12290000000007</v>
      </c>
      <c r="S6" s="831">
        <v>313.88780000000003</v>
      </c>
      <c r="T6" s="831">
        <v>319.12959999999998</v>
      </c>
      <c r="U6" s="831">
        <v>292.64260000000002</v>
      </c>
      <c r="V6" s="831">
        <v>302.06207999999998</v>
      </c>
      <c r="W6" s="831">
        <v>302.58045999999996</v>
      </c>
      <c r="X6" s="831">
        <v>299.27619999999996</v>
      </c>
      <c r="Y6" s="831">
        <v>289.8039</v>
      </c>
      <c r="Z6" s="831">
        <v>279.82820000000004</v>
      </c>
      <c r="AA6" s="831">
        <v>282.9939</v>
      </c>
      <c r="AB6" s="831">
        <v>289.76820000000004</v>
      </c>
      <c r="AC6" s="831">
        <v>295.82999317200006</v>
      </c>
      <c r="AD6" s="831">
        <v>289.70845972702</v>
      </c>
      <c r="AE6" s="831">
        <v>293.85318719754002</v>
      </c>
      <c r="AF6" s="831">
        <v>280.53101400000003</v>
      </c>
      <c r="AG6" s="831">
        <v>289.06950605539993</v>
      </c>
      <c r="AH6" s="831">
        <v>283.96142303982998</v>
      </c>
      <c r="AI6" s="831">
        <v>264.70822462643906</v>
      </c>
      <c r="AJ6" s="832">
        <v>271.80984995435227</v>
      </c>
      <c r="AL6" s="429"/>
    </row>
    <row r="7" spans="1:38">
      <c r="A7" s="84" t="s">
        <v>96</v>
      </c>
      <c r="B7" s="833">
        <v>3.4529999999999998</v>
      </c>
      <c r="C7" s="833">
        <v>3.367</v>
      </c>
      <c r="D7" s="833">
        <v>3.5859999999999999</v>
      </c>
      <c r="E7" s="833">
        <v>3.0569999999999999</v>
      </c>
      <c r="F7" s="833">
        <v>3.073</v>
      </c>
      <c r="G7" s="833">
        <v>4.125</v>
      </c>
      <c r="H7" s="833">
        <v>5.0350000000000001</v>
      </c>
      <c r="I7" s="833">
        <v>4.9489999999999998</v>
      </c>
      <c r="J7" s="833">
        <v>6.1449999999999996</v>
      </c>
      <c r="K7" s="833">
        <v>6.4119999999999999</v>
      </c>
      <c r="L7" s="833">
        <v>6.7</v>
      </c>
      <c r="M7" s="833">
        <v>7.1150000000000002</v>
      </c>
      <c r="N7" s="833">
        <v>7.7430000000000003</v>
      </c>
      <c r="O7" s="833">
        <v>7.6070000000000002</v>
      </c>
      <c r="P7" s="833">
        <v>7.57</v>
      </c>
      <c r="Q7" s="833">
        <v>6.86</v>
      </c>
      <c r="R7" s="833">
        <v>6.431</v>
      </c>
      <c r="S7" s="833">
        <v>5.6660000000000004</v>
      </c>
      <c r="T7" s="833">
        <v>5.6040000000000001</v>
      </c>
      <c r="U7" s="833">
        <v>4.3049999999999997</v>
      </c>
      <c r="V7" s="833">
        <v>3.29</v>
      </c>
      <c r="W7" s="833">
        <v>1.9339999999999999</v>
      </c>
      <c r="X7" s="833">
        <v>1.9790000000000001</v>
      </c>
      <c r="Y7" s="833">
        <v>1.8979999999999999</v>
      </c>
      <c r="Z7" s="833">
        <v>1.7110000000000001</v>
      </c>
      <c r="AA7" s="833">
        <v>1.4320999999999999</v>
      </c>
      <c r="AB7" s="833">
        <v>1.8252000000000002</v>
      </c>
      <c r="AC7" s="833">
        <v>1.8260000000000001</v>
      </c>
      <c r="AD7" s="833">
        <v>1.7162999999999999</v>
      </c>
      <c r="AE7" s="833">
        <v>1.835</v>
      </c>
      <c r="AF7" s="833">
        <v>1.9434709999999999</v>
      </c>
      <c r="AG7" s="833">
        <v>2.0901999999999998</v>
      </c>
      <c r="AH7" s="833">
        <v>1.8932</v>
      </c>
      <c r="AI7" s="833">
        <v>1.5509999999999999</v>
      </c>
      <c r="AJ7" s="832">
        <v>1.4982737922217737</v>
      </c>
    </row>
    <row r="8" spans="1:38">
      <c r="A8" s="84" t="s">
        <v>636</v>
      </c>
      <c r="B8" s="833"/>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v>8.4000000000000012E-3</v>
      </c>
      <c r="AJ8" s="832">
        <v>0.12</v>
      </c>
    </row>
    <row r="9" spans="1:38">
      <c r="A9" s="85" t="s">
        <v>472</v>
      </c>
      <c r="B9" s="831">
        <v>0</v>
      </c>
      <c r="C9" s="831">
        <v>0</v>
      </c>
      <c r="D9" s="831">
        <v>0</v>
      </c>
      <c r="E9" s="831">
        <v>0</v>
      </c>
      <c r="F9" s="831">
        <v>0</v>
      </c>
      <c r="G9" s="831">
        <v>0</v>
      </c>
      <c r="H9" s="831">
        <v>0</v>
      </c>
      <c r="I9" s="831">
        <v>0</v>
      </c>
      <c r="J9" s="831">
        <v>0</v>
      </c>
      <c r="K9" s="831">
        <v>0</v>
      </c>
      <c r="L9" s="831">
        <v>0</v>
      </c>
      <c r="M9" s="831">
        <v>0</v>
      </c>
      <c r="N9" s="831">
        <v>0</v>
      </c>
      <c r="O9" s="831">
        <v>0</v>
      </c>
      <c r="P9" s="833">
        <v>52.660026248869897</v>
      </c>
      <c r="Q9" s="833">
        <v>53.628915620710529</v>
      </c>
      <c r="R9" s="833">
        <v>58.02752892435052</v>
      </c>
      <c r="S9" s="833">
        <v>56.780861636271183</v>
      </c>
      <c r="T9" s="833">
        <v>55.104062635157035</v>
      </c>
      <c r="U9" s="833">
        <v>50.227723507174296</v>
      </c>
      <c r="V9" s="833">
        <v>56.251942794311546</v>
      </c>
      <c r="W9" s="833">
        <v>59.954932081796819</v>
      </c>
      <c r="X9" s="833">
        <v>56.456630644373554</v>
      </c>
      <c r="Y9" s="833">
        <v>59.094312712217949</v>
      </c>
      <c r="Z9" s="833">
        <v>56.235660806238421</v>
      </c>
      <c r="AA9" s="833">
        <v>59.269925583577979</v>
      </c>
      <c r="AB9" s="833">
        <v>61.045825282695432</v>
      </c>
      <c r="AC9" s="833">
        <v>61.079597</v>
      </c>
      <c r="AD9" s="833">
        <v>59.621195</v>
      </c>
      <c r="AE9" s="833">
        <v>60.245725999999998</v>
      </c>
      <c r="AF9" s="833">
        <v>59.297881000000004</v>
      </c>
      <c r="AG9" s="833">
        <v>57.681199999999997</v>
      </c>
      <c r="AH9" s="833">
        <v>56.677</v>
      </c>
      <c r="AI9" s="833">
        <v>50.866800000000005</v>
      </c>
      <c r="AJ9" s="832">
        <v>49.712747938474266</v>
      </c>
    </row>
    <row r="10" spans="1:38">
      <c r="A10" s="83" t="s">
        <v>97</v>
      </c>
      <c r="B10" s="831">
        <v>11.536</v>
      </c>
      <c r="C10" s="831">
        <v>11.526</v>
      </c>
      <c r="D10" s="831">
        <v>11.811</v>
      </c>
      <c r="E10" s="831">
        <v>11.430999999999999</v>
      </c>
      <c r="F10" s="831">
        <v>11.641</v>
      </c>
      <c r="G10" s="831">
        <v>12.273</v>
      </c>
      <c r="H10" s="831">
        <v>12.058999999999999</v>
      </c>
      <c r="I10" s="831">
        <v>12.176</v>
      </c>
      <c r="J10" s="831">
        <v>12.847</v>
      </c>
      <c r="K10" s="831">
        <v>12.919</v>
      </c>
      <c r="L10" s="831">
        <v>13.336416000000026</v>
      </c>
      <c r="M10" s="831">
        <v>13.027398000000044</v>
      </c>
      <c r="N10" s="831">
        <v>14.477496999999975</v>
      </c>
      <c r="O10" s="831">
        <v>13.682059999999998</v>
      </c>
      <c r="P10" s="831">
        <v>13.300268999999972</v>
      </c>
      <c r="Q10" s="831">
        <v>13.064966000000014</v>
      </c>
      <c r="R10" s="831">
        <v>12.863271000000008</v>
      </c>
      <c r="S10" s="831">
        <v>12.588071999999986</v>
      </c>
      <c r="T10" s="831">
        <v>12.065985999999976</v>
      </c>
      <c r="U10" s="831">
        <v>11.533415000000037</v>
      </c>
      <c r="V10" s="831">
        <v>11.31742200000002</v>
      </c>
      <c r="W10" s="831">
        <v>11.139831999999995</v>
      </c>
      <c r="X10" s="831">
        <v>11.473618000000016</v>
      </c>
      <c r="Y10" s="831">
        <v>10.97320299999998</v>
      </c>
      <c r="Z10" s="831">
        <v>10.679407999999995</v>
      </c>
      <c r="AA10" s="831">
        <v>10.565047000000021</v>
      </c>
      <c r="AB10" s="831">
        <v>10.065338000000047</v>
      </c>
      <c r="AC10" s="831">
        <v>10.564362000000022</v>
      </c>
      <c r="AD10" s="831">
        <v>9.8638140000000138</v>
      </c>
      <c r="AE10" s="831">
        <v>9.9031000000000002</v>
      </c>
      <c r="AF10" s="831">
        <v>8.8829999999999991</v>
      </c>
      <c r="AG10" s="831">
        <v>9.0242500000000003</v>
      </c>
      <c r="AH10" s="831">
        <v>9.3451399999999989</v>
      </c>
      <c r="AI10" s="831">
        <v>8.1463000000000001</v>
      </c>
      <c r="AJ10" s="832">
        <v>8.3648499543522732</v>
      </c>
    </row>
    <row r="11" spans="1:38">
      <c r="A11" s="83" t="s">
        <v>98</v>
      </c>
      <c r="B11" s="831">
        <v>205.06399999999999</v>
      </c>
      <c r="C11" s="831">
        <v>210.29050000000001</v>
      </c>
      <c r="D11" s="831">
        <v>214.44300000000001</v>
      </c>
      <c r="E11" s="831">
        <v>211.37100000000001</v>
      </c>
      <c r="F11" s="831">
        <v>220.17169999999999</v>
      </c>
      <c r="G11" s="831">
        <v>229.21529999999998</v>
      </c>
      <c r="H11" s="831">
        <v>232.37270000000001</v>
      </c>
      <c r="I11" s="831">
        <v>239.29379999999998</v>
      </c>
      <c r="J11" s="831">
        <v>246.94700000000003</v>
      </c>
      <c r="K11" s="831">
        <v>252.74020000000002</v>
      </c>
      <c r="L11" s="831">
        <v>263.30588399999993</v>
      </c>
      <c r="M11" s="831">
        <v>265.98120199999994</v>
      </c>
      <c r="N11" s="831">
        <v>270.79930300000001</v>
      </c>
      <c r="O11" s="831">
        <v>280.20184</v>
      </c>
      <c r="P11" s="831">
        <v>290.04793100000001</v>
      </c>
      <c r="Q11" s="831">
        <v>290.63293400000003</v>
      </c>
      <c r="R11" s="831">
        <v>301.25962900000007</v>
      </c>
      <c r="S11" s="831">
        <v>301.29972800000007</v>
      </c>
      <c r="T11" s="831">
        <v>307.06361400000003</v>
      </c>
      <c r="U11" s="831">
        <v>281.10918500000002</v>
      </c>
      <c r="V11" s="831">
        <v>290.74465799999996</v>
      </c>
      <c r="W11" s="831">
        <v>291.44062799999995</v>
      </c>
      <c r="X11" s="831">
        <v>287.80258199999992</v>
      </c>
      <c r="Y11" s="831">
        <v>278.83069700000004</v>
      </c>
      <c r="Z11" s="831">
        <v>269.14879200000001</v>
      </c>
      <c r="AA11" s="831">
        <v>272.428853</v>
      </c>
      <c r="AB11" s="831">
        <v>279.70286199999998</v>
      </c>
      <c r="AC11" s="831">
        <v>285.26563117200004</v>
      </c>
      <c r="AD11" s="831">
        <v>279.84464572702001</v>
      </c>
      <c r="AE11" s="831">
        <v>283.95008719754003</v>
      </c>
      <c r="AF11" s="831">
        <v>271.64801400000005</v>
      </c>
      <c r="AG11" s="831">
        <v>280.04525605539993</v>
      </c>
      <c r="AH11" s="831">
        <v>274.61628303982997</v>
      </c>
      <c r="AI11" s="831">
        <v>256.56192462643907</v>
      </c>
      <c r="AJ11" s="832">
        <v>263.44499999999999</v>
      </c>
    </row>
    <row r="12" spans="1:38">
      <c r="A12" s="83" t="s">
        <v>99</v>
      </c>
      <c r="B12" s="831">
        <v>4.782</v>
      </c>
      <c r="C12" s="831">
        <v>4.577</v>
      </c>
      <c r="D12" s="831">
        <v>4.9459999999999997</v>
      </c>
      <c r="E12" s="831">
        <v>4.1890000000000001</v>
      </c>
      <c r="F12" s="831">
        <v>4.1500000000000004</v>
      </c>
      <c r="G12" s="831">
        <v>5.6260000000000003</v>
      </c>
      <c r="H12" s="831">
        <v>6.8819999999999997</v>
      </c>
      <c r="I12" s="831">
        <v>6.7279999999999998</v>
      </c>
      <c r="J12" s="831">
        <v>8.3580000000000005</v>
      </c>
      <c r="K12" s="831">
        <v>8.9030000000000005</v>
      </c>
      <c r="L12" s="831">
        <v>9.1300000000000008</v>
      </c>
      <c r="M12" s="831">
        <v>9.5109999999999992</v>
      </c>
      <c r="N12" s="831">
        <v>10.654</v>
      </c>
      <c r="O12" s="831">
        <v>10.493</v>
      </c>
      <c r="P12" s="831">
        <v>10.3</v>
      </c>
      <c r="Q12" s="831">
        <v>9.3190000000000008</v>
      </c>
      <c r="R12" s="831">
        <v>8.7520000000000007</v>
      </c>
      <c r="S12" s="831">
        <v>7.6539999999999999</v>
      </c>
      <c r="T12" s="831">
        <v>7.6180000000000003</v>
      </c>
      <c r="U12" s="831">
        <v>5.798</v>
      </c>
      <c r="V12" s="831">
        <v>4.4530000000000003</v>
      </c>
      <c r="W12" s="831">
        <v>2.5390000000000001</v>
      </c>
      <c r="X12" s="831">
        <v>2.6890000000000001</v>
      </c>
      <c r="Y12" s="831">
        <v>2.4950000000000001</v>
      </c>
      <c r="Z12" s="831">
        <v>2.3290000000000002</v>
      </c>
      <c r="AA12" s="831">
        <v>1.909</v>
      </c>
      <c r="AB12" s="831">
        <v>2.468</v>
      </c>
      <c r="AC12" s="831">
        <v>2.4781619999999998</v>
      </c>
      <c r="AD12" s="831">
        <v>2.3122790000000002</v>
      </c>
      <c r="AE12" s="831">
        <v>2.4691999999999998</v>
      </c>
      <c r="AF12" s="831">
        <v>2.6680000000000001</v>
      </c>
      <c r="AG12" s="831">
        <v>2.91615</v>
      </c>
      <c r="AH12" s="831">
        <v>2.5863499999999999</v>
      </c>
      <c r="AI12" s="831">
        <v>2.1855000000000002</v>
      </c>
      <c r="AJ12" s="832">
        <v>2.073</v>
      </c>
    </row>
    <row r="13" spans="1:38">
      <c r="A13" s="83" t="s">
        <v>645</v>
      </c>
      <c r="B13" s="831"/>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1"/>
      <c r="AD13" s="831"/>
      <c r="AE13" s="831"/>
      <c r="AF13" s="831"/>
      <c r="AG13" s="831"/>
      <c r="AH13" s="831"/>
      <c r="AI13" s="831">
        <v>1.1599999999999999E-2</v>
      </c>
      <c r="AJ13" s="832">
        <v>0.14099999999999999</v>
      </c>
    </row>
    <row r="14" spans="1:38">
      <c r="A14" s="83" t="s">
        <v>100</v>
      </c>
      <c r="B14" s="831">
        <v>200.28200000000001</v>
      </c>
      <c r="C14" s="831">
        <v>205.71350000000001</v>
      </c>
      <c r="D14" s="831">
        <v>209.49700000000001</v>
      </c>
      <c r="E14" s="831">
        <v>207.18199999999999</v>
      </c>
      <c r="F14" s="831">
        <v>216.02169999999998</v>
      </c>
      <c r="G14" s="831">
        <v>223.58929999999998</v>
      </c>
      <c r="H14" s="831">
        <v>225.4907</v>
      </c>
      <c r="I14" s="831">
        <v>232.5658</v>
      </c>
      <c r="J14" s="831">
        <v>238.58900000000003</v>
      </c>
      <c r="K14" s="831">
        <v>243.83720000000002</v>
      </c>
      <c r="L14" s="831">
        <v>254.17588399999997</v>
      </c>
      <c r="M14" s="831">
        <v>256.47020199999992</v>
      </c>
      <c r="N14" s="831">
        <v>260.14530300000001</v>
      </c>
      <c r="O14" s="831">
        <v>269.70884000000001</v>
      </c>
      <c r="P14" s="831">
        <v>279.74793099999999</v>
      </c>
      <c r="Q14" s="831">
        <v>281.31393400000002</v>
      </c>
      <c r="R14" s="831">
        <v>292.50762900000007</v>
      </c>
      <c r="S14" s="831">
        <v>293.64572800000008</v>
      </c>
      <c r="T14" s="831">
        <v>299.44561399999998</v>
      </c>
      <c r="U14" s="831">
        <v>275.31118500000002</v>
      </c>
      <c r="V14" s="831">
        <v>286.29165799999993</v>
      </c>
      <c r="W14" s="831">
        <v>288.90162799999996</v>
      </c>
      <c r="X14" s="831">
        <v>285.11358199999995</v>
      </c>
      <c r="Y14" s="831">
        <v>276.33569700000004</v>
      </c>
      <c r="Z14" s="831">
        <v>266.81979200000001</v>
      </c>
      <c r="AA14" s="831">
        <v>270.51985300000001</v>
      </c>
      <c r="AB14" s="831">
        <v>277.23486199999996</v>
      </c>
      <c r="AC14" s="831">
        <v>282.78746917199999</v>
      </c>
      <c r="AD14" s="831">
        <v>277.53236672702002</v>
      </c>
      <c r="AE14" s="831">
        <v>281.48088719754003</v>
      </c>
      <c r="AF14" s="831">
        <v>268.98001400000004</v>
      </c>
      <c r="AG14" s="831">
        <v>277.12910605539992</v>
      </c>
      <c r="AH14" s="831">
        <v>272.02993303982998</v>
      </c>
      <c r="AI14" s="831">
        <v>254.36482462643906</v>
      </c>
      <c r="AJ14" s="832">
        <v>261.23099999999999</v>
      </c>
    </row>
    <row r="15" spans="1:38">
      <c r="A15" s="83" t="s">
        <v>124</v>
      </c>
      <c r="B15" s="831">
        <v>34.655000000000001</v>
      </c>
      <c r="C15" s="831">
        <v>35.082000000000001</v>
      </c>
      <c r="D15" s="831">
        <v>35.299999999999997</v>
      </c>
      <c r="E15" s="831">
        <v>39.432000000000002</v>
      </c>
      <c r="F15" s="831">
        <v>37.598999999999997</v>
      </c>
      <c r="G15" s="831">
        <v>37.427</v>
      </c>
      <c r="H15" s="831">
        <v>37.389000000000003</v>
      </c>
      <c r="I15" s="831">
        <v>38.832000000000001</v>
      </c>
      <c r="J15" s="831">
        <v>40.731999999999999</v>
      </c>
      <c r="K15" s="831">
        <v>42.01</v>
      </c>
      <c r="L15" s="831">
        <v>44.347000000000001</v>
      </c>
      <c r="M15" s="831">
        <v>48.377000000000002</v>
      </c>
      <c r="N15" s="831">
        <v>50.597000000000001</v>
      </c>
      <c r="O15" s="831">
        <v>50.968000000000004</v>
      </c>
      <c r="P15" s="831">
        <v>45.634999999999998</v>
      </c>
      <c r="Q15" s="831">
        <v>49.155000000000001</v>
      </c>
      <c r="R15" s="831">
        <v>44.984999999999999</v>
      </c>
      <c r="S15" s="831">
        <v>46.283000000000001</v>
      </c>
      <c r="T15" s="831">
        <v>40.034999999999997</v>
      </c>
      <c r="U15" s="831">
        <v>44.959000000000003</v>
      </c>
      <c r="V15" s="831">
        <v>44.16</v>
      </c>
      <c r="W15" s="831">
        <v>45.731999999999999</v>
      </c>
      <c r="X15" s="831">
        <v>43.103000000000002</v>
      </c>
      <c r="Y15" s="831">
        <v>42.137999999999998</v>
      </c>
      <c r="Z15" s="831">
        <v>43.716000000000001</v>
      </c>
      <c r="AA15" s="831">
        <v>46.378</v>
      </c>
      <c r="AB15" s="831">
        <v>37.027000000000001</v>
      </c>
      <c r="AC15" s="831">
        <v>37.760649999999998</v>
      </c>
      <c r="AD15" s="831">
        <v>43.898788999999994</v>
      </c>
      <c r="AE15" s="831">
        <v>38.141200000000005</v>
      </c>
      <c r="AF15" s="831">
        <v>32.200400000000002</v>
      </c>
      <c r="AG15" s="831">
        <v>42.7898</v>
      </c>
      <c r="AH15" s="831">
        <v>42.986800000000002</v>
      </c>
      <c r="AI15" s="831">
        <v>51.2515</v>
      </c>
      <c r="AJ15" s="832">
        <v>50.999000000000002</v>
      </c>
    </row>
    <row r="16" spans="1:38">
      <c r="A16" s="83" t="s">
        <v>101</v>
      </c>
      <c r="B16" s="831">
        <v>234.93700000000001</v>
      </c>
      <c r="C16" s="831">
        <v>240.7955</v>
      </c>
      <c r="D16" s="831">
        <v>244.797</v>
      </c>
      <c r="E16" s="831">
        <v>246.614</v>
      </c>
      <c r="F16" s="831">
        <v>253.62069999999997</v>
      </c>
      <c r="G16" s="831">
        <v>261.0163</v>
      </c>
      <c r="H16" s="831">
        <v>262.87970000000001</v>
      </c>
      <c r="I16" s="831">
        <v>271.39779999999996</v>
      </c>
      <c r="J16" s="831">
        <v>279.32100000000003</v>
      </c>
      <c r="K16" s="831">
        <v>285.84719999999999</v>
      </c>
      <c r="L16" s="831">
        <v>298.52288399999998</v>
      </c>
      <c r="M16" s="831">
        <v>304.84720199999992</v>
      </c>
      <c r="N16" s="831">
        <v>310.74230299999999</v>
      </c>
      <c r="O16" s="831">
        <v>320.67684000000003</v>
      </c>
      <c r="P16" s="831">
        <v>325.38293099999999</v>
      </c>
      <c r="Q16" s="831">
        <v>330.46893399999999</v>
      </c>
      <c r="R16" s="831">
        <v>337.49262900000008</v>
      </c>
      <c r="S16" s="831">
        <v>339.92872800000004</v>
      </c>
      <c r="T16" s="831">
        <v>339.480614</v>
      </c>
      <c r="U16" s="831">
        <v>320.27018499999997</v>
      </c>
      <c r="V16" s="831">
        <v>330.45165799999995</v>
      </c>
      <c r="W16" s="831">
        <v>334.63362799999999</v>
      </c>
      <c r="X16" s="831">
        <v>328.21658199999996</v>
      </c>
      <c r="Y16" s="831">
        <v>318.47369700000002</v>
      </c>
      <c r="Z16" s="831">
        <v>310.53579200000001</v>
      </c>
      <c r="AA16" s="831">
        <v>316.897853</v>
      </c>
      <c r="AB16" s="831">
        <v>314.26186199999995</v>
      </c>
      <c r="AC16" s="831">
        <v>320.54811917200004</v>
      </c>
      <c r="AD16" s="831">
        <v>321.43115572701998</v>
      </c>
      <c r="AE16" s="831">
        <v>319.62208719754005</v>
      </c>
      <c r="AF16" s="831">
        <v>301.18041400000004</v>
      </c>
      <c r="AG16" s="831">
        <v>319.91890605539993</v>
      </c>
      <c r="AH16" s="831">
        <v>315.01673303983</v>
      </c>
      <c r="AI16" s="831">
        <v>305.616324626439</v>
      </c>
      <c r="AJ16" s="832">
        <v>312.23</v>
      </c>
    </row>
    <row r="17" spans="1:38">
      <c r="A17" s="83" t="s">
        <v>102</v>
      </c>
      <c r="B17" s="831">
        <v>16.158999999999999</v>
      </c>
      <c r="C17" s="831">
        <v>17.108000000000001</v>
      </c>
      <c r="D17" s="831">
        <v>16.728000000000002</v>
      </c>
      <c r="E17" s="831">
        <v>17.649999999999999</v>
      </c>
      <c r="F17" s="831">
        <v>17.065999999999999</v>
      </c>
      <c r="G17" s="831">
        <v>17.552</v>
      </c>
      <c r="H17" s="831">
        <v>16.927</v>
      </c>
      <c r="I17" s="831">
        <v>17.727</v>
      </c>
      <c r="J17" s="831">
        <v>18.518000000000001</v>
      </c>
      <c r="K17" s="831">
        <v>18.571000000000002</v>
      </c>
      <c r="L17" s="831">
        <v>19.202999999999999</v>
      </c>
      <c r="M17" s="831">
        <v>19.356000000000002</v>
      </c>
      <c r="N17" s="831">
        <v>19.782</v>
      </c>
      <c r="O17" s="831">
        <v>20.888999999999999</v>
      </c>
      <c r="P17" s="831">
        <v>20.867999999999999</v>
      </c>
      <c r="Q17" s="831">
        <v>20.626000000000001</v>
      </c>
      <c r="R17" s="831">
        <v>19.925999999999998</v>
      </c>
      <c r="S17" s="831">
        <v>20.975999999999999</v>
      </c>
      <c r="T17" s="831">
        <v>20.443999999999999</v>
      </c>
      <c r="U17" s="831">
        <v>20.352</v>
      </c>
      <c r="V17" s="831">
        <v>20.57</v>
      </c>
      <c r="W17" s="831">
        <v>20.847999999999999</v>
      </c>
      <c r="X17" s="831">
        <v>21</v>
      </c>
      <c r="Y17" s="831">
        <v>21.187000000000001</v>
      </c>
      <c r="Z17" s="831">
        <v>19.451000000000001</v>
      </c>
      <c r="AA17" s="831">
        <v>19.716999999999999</v>
      </c>
      <c r="AB17" s="831">
        <v>18.753</v>
      </c>
      <c r="AC17" s="831">
        <v>18.667621999999998</v>
      </c>
      <c r="AD17" s="831">
        <v>17.988159</v>
      </c>
      <c r="AE17" s="831">
        <v>17.818287197540048</v>
      </c>
      <c r="AF17" s="831">
        <v>17.365914000000046</v>
      </c>
      <c r="AG17" s="831">
        <v>19.0318</v>
      </c>
      <c r="AH17" s="831">
        <v>19.155000000000001</v>
      </c>
      <c r="AI17" s="831">
        <v>18.244199999999999</v>
      </c>
      <c r="AJ17" s="832">
        <v>18.985549092224904</v>
      </c>
    </row>
    <row r="18" spans="1:38">
      <c r="A18" s="83" t="s">
        <v>52</v>
      </c>
      <c r="B18" s="831">
        <v>218.77799999999999</v>
      </c>
      <c r="C18" s="831">
        <v>223.6875</v>
      </c>
      <c r="D18" s="831">
        <v>228.06899999999999</v>
      </c>
      <c r="E18" s="831">
        <v>228.964</v>
      </c>
      <c r="F18" s="831">
        <v>236.55469999999997</v>
      </c>
      <c r="G18" s="831">
        <v>243.46429999999998</v>
      </c>
      <c r="H18" s="831">
        <v>245.95270000000002</v>
      </c>
      <c r="I18" s="831">
        <v>253.67079999999999</v>
      </c>
      <c r="J18" s="831">
        <v>260.803</v>
      </c>
      <c r="K18" s="831">
        <v>267.27620000000002</v>
      </c>
      <c r="L18" s="831">
        <v>279.31988399999994</v>
      </c>
      <c r="M18" s="831">
        <v>285.49120199999993</v>
      </c>
      <c r="N18" s="831">
        <v>290.96030300000001</v>
      </c>
      <c r="O18" s="831">
        <v>299.78784000000002</v>
      </c>
      <c r="P18" s="831">
        <v>304.51493099999999</v>
      </c>
      <c r="Q18" s="831">
        <v>309.84293400000001</v>
      </c>
      <c r="R18" s="831">
        <v>317.56662900000009</v>
      </c>
      <c r="S18" s="831">
        <v>318.95272800000004</v>
      </c>
      <c r="T18" s="831">
        <v>319.03661399999999</v>
      </c>
      <c r="U18" s="831">
        <v>299.91818499999999</v>
      </c>
      <c r="V18" s="831">
        <v>309.88165799999996</v>
      </c>
      <c r="W18" s="831">
        <v>313.78562799999997</v>
      </c>
      <c r="X18" s="831">
        <v>307.21658199999996</v>
      </c>
      <c r="Y18" s="831">
        <v>297.28669700000006</v>
      </c>
      <c r="Z18" s="831">
        <v>291.08479199999999</v>
      </c>
      <c r="AA18" s="831">
        <v>297.18085300000001</v>
      </c>
      <c r="AB18" s="831">
        <v>295.50886199999997</v>
      </c>
      <c r="AC18" s="831">
        <v>301.88049717200005</v>
      </c>
      <c r="AD18" s="831">
        <v>303.44299672701999</v>
      </c>
      <c r="AE18" s="831">
        <v>301.80379999999997</v>
      </c>
      <c r="AF18" s="831">
        <v>283.81450000000001</v>
      </c>
      <c r="AG18" s="831">
        <v>300.88710605539995</v>
      </c>
      <c r="AH18" s="831">
        <v>295.86173303982997</v>
      </c>
      <c r="AI18" s="831">
        <v>287.37212462643902</v>
      </c>
      <c r="AJ18" s="832">
        <v>293.2444509077751</v>
      </c>
      <c r="AL18" s="429"/>
    </row>
    <row r="19" spans="1:38">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834"/>
      <c r="AA19" s="834"/>
      <c r="AB19" s="834"/>
      <c r="AC19" s="834"/>
      <c r="AD19" s="834"/>
      <c r="AE19" s="834"/>
      <c r="AF19" s="834"/>
      <c r="AG19" s="834"/>
      <c r="AH19" s="834"/>
      <c r="AI19" s="834"/>
      <c r="AJ19" s="834"/>
    </row>
    <row r="20" spans="1:38">
      <c r="A20" s="47" t="s">
        <v>640</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834"/>
      <c r="AA20" s="835"/>
      <c r="AB20" s="835"/>
      <c r="AC20" s="835"/>
      <c r="AD20" s="835"/>
      <c r="AE20" s="835"/>
      <c r="AF20" s="835"/>
      <c r="AG20" s="835"/>
      <c r="AH20" s="835"/>
      <c r="AI20" s="835"/>
      <c r="AJ20" s="835"/>
      <c r="AK20" s="569" t="s">
        <v>648</v>
      </c>
    </row>
    <row r="21" spans="1:38">
      <c r="A21" s="85" t="s">
        <v>369</v>
      </c>
      <c r="B21" s="836">
        <f>'7'!B7+'7'!B9++'7'!B12++'7'!B14</f>
        <v>26.295999999999999</v>
      </c>
      <c r="C21" s="836">
        <f>'7'!C7+'7'!C9++'7'!C12++'7'!C14</f>
        <v>29.168999999999997</v>
      </c>
      <c r="D21" s="836">
        <f>'7'!D7+'7'!D9++'7'!D12++'7'!D14</f>
        <v>32.119999999999997</v>
      </c>
      <c r="E21" s="836">
        <f>'7'!E7+'7'!E9++'7'!E12++'7'!E14</f>
        <v>34.968000000000004</v>
      </c>
      <c r="F21" s="836">
        <f>'7'!F7+'7'!F9++'7'!F12++'7'!F14</f>
        <v>38.612000000000002</v>
      </c>
      <c r="G21" s="836">
        <f>'7'!G7+'7'!G9++'7'!G12++'7'!G14</f>
        <v>40.183</v>
      </c>
      <c r="H21" s="836">
        <f>'7'!H7+'7'!H9++'7'!H12++'7'!H14</f>
        <v>43.783000000000001</v>
      </c>
      <c r="I21" s="836">
        <f>'7'!I7+'7'!I9++'7'!I12++'7'!I14</f>
        <v>53.024000000000001</v>
      </c>
      <c r="J21" s="836">
        <f>'7'!J7+'7'!J9++'7'!J12++'7'!J14</f>
        <v>57.805999999999997</v>
      </c>
      <c r="K21" s="836">
        <f>'7'!K7+'7'!K9++'7'!K12++'7'!K14</f>
        <v>63.143999999999998</v>
      </c>
      <c r="L21" s="836">
        <f>'7'!L7+'7'!L9++'7'!L12++'7'!L14</f>
        <v>21.157899999999998</v>
      </c>
      <c r="M21" s="836">
        <f>'7'!M7+'7'!M9++'7'!M12++'7'!M14</f>
        <v>20.430399999999999</v>
      </c>
      <c r="N21" s="836">
        <f>'7'!N7+'7'!N9++'7'!N12++'7'!N14</f>
        <v>20.2502</v>
      </c>
      <c r="O21" s="836">
        <f>'7'!O7+'7'!O9++'7'!O12++'7'!O14</f>
        <v>19.524000000000001</v>
      </c>
      <c r="P21" s="837">
        <f>'7'!P7+'7'!P9++'7'!P12++'7'!P14</f>
        <v>19.037000000000003</v>
      </c>
      <c r="Q21" s="837">
        <f>'7'!Q7+'7'!Q9++'7'!Q12++'7'!Q14</f>
        <v>19.786999999999999</v>
      </c>
      <c r="R21" s="837">
        <f>'7'!R7+'7'!R9++'7'!R12++'7'!R14</f>
        <v>18.353999999999999</v>
      </c>
      <c r="S21" s="837">
        <f>'7'!S7+'7'!S9++'7'!S12++'7'!S14</f>
        <v>19.116</v>
      </c>
      <c r="T21" s="837">
        <f>'7'!T7+'7'!T9++'7'!T12++'7'!T14</f>
        <v>18.762</v>
      </c>
      <c r="U21" s="837">
        <f>'7'!U7+'7'!U9++'7'!U12++'7'!U14</f>
        <v>20.271000000000001</v>
      </c>
      <c r="V21" s="837">
        <f>'7'!V7+'7'!V9++'7'!V12++'7'!V14</f>
        <v>23.861999999999998</v>
      </c>
      <c r="W21" s="837">
        <f>'7'!W7+'7'!W9++'7'!W12++'7'!W14</f>
        <v>23.553100000000001</v>
      </c>
      <c r="X21" s="837">
        <f>'7'!X7+'7'!X9++'7'!X12++'7'!X14</f>
        <v>16.0565</v>
      </c>
      <c r="Y21" s="837">
        <f>'7'!Y7+'7'!Y9++'7'!Y12++'7'!Y14</f>
        <v>16.0701</v>
      </c>
      <c r="Z21" s="837">
        <f>'7'!Z7+'7'!Z9++'7'!Z12++'7'!Z14</f>
        <v>15.742100000000001</v>
      </c>
      <c r="AA21" s="837">
        <f>'7'!AA7+'7'!AA9++'7'!AA12++'7'!AA14</f>
        <v>19.082799999999999</v>
      </c>
      <c r="AB21" s="837">
        <f>'7'!AB7+'7'!AB9++'7'!AB12++'7'!AB14</f>
        <v>18.467299999999998</v>
      </c>
      <c r="AC21" s="837">
        <f>'7'!AC7+'7'!AC9++'7'!AC12++'7'!AC14</f>
        <v>19.781600000000001</v>
      </c>
      <c r="AD21" s="837">
        <f>'7'!AD7+'7'!AD9++'7'!AD12++'7'!AD14</f>
        <v>22.7835</v>
      </c>
      <c r="AE21" s="837">
        <f>'7'!AE7+'7'!AE9++'7'!AE12++'7'!AE14</f>
        <v>22.3398</v>
      </c>
      <c r="AF21" s="837">
        <f>'7'!AF7+'7'!AF9++'7'!AF12++'7'!AF14</f>
        <v>20.335000000000001</v>
      </c>
      <c r="AG21" s="837">
        <f>'7'!AG7+'7'!AG9++'7'!AG12++'7'!AG14</f>
        <v>22.871100000000002</v>
      </c>
      <c r="AH21" s="837">
        <f>'7'!AH7+'7'!AH9++'7'!AH12++'7'!AH14</f>
        <v>22.0443</v>
      </c>
      <c r="AI21" s="837">
        <f>'7'!AI7+'7'!AI9++'7'!AI12++'7'!AI14</f>
        <v>25.7913</v>
      </c>
      <c r="AJ21" s="838">
        <f>'7'!AJ7+'7'!AJ9++'7'!AJ12++'7'!AJ14</f>
        <v>24.836466582474923</v>
      </c>
      <c r="AK21" s="83" t="s">
        <v>647</v>
      </c>
    </row>
    <row r="22" spans="1:38">
      <c r="A22" s="83" t="s">
        <v>97</v>
      </c>
      <c r="B22" s="831">
        <f t="shared" ref="B22:J22" si="0">$L$22/$L$21*B21</f>
        <v>1.2527882256745708</v>
      </c>
      <c r="C22" s="831">
        <f t="shared" si="0"/>
        <v>1.3896630572977471</v>
      </c>
      <c r="D22" s="831">
        <f t="shared" si="0"/>
        <v>1.530253947698023</v>
      </c>
      <c r="E22" s="831">
        <f t="shared" si="0"/>
        <v>1.66593773484136</v>
      </c>
      <c r="F22" s="831">
        <f t="shared" si="0"/>
        <v>1.8395443782227918</v>
      </c>
      <c r="G22" s="831">
        <f t="shared" si="0"/>
        <v>1.9143896133359175</v>
      </c>
      <c r="H22" s="831">
        <f t="shared" si="0"/>
        <v>2.0859000184328318</v>
      </c>
      <c r="I22" s="831">
        <f t="shared" si="0"/>
        <v>2.5261576999607716</v>
      </c>
      <c r="J22" s="831">
        <f t="shared" si="0"/>
        <v>2.7539806880645057</v>
      </c>
      <c r="K22" s="831">
        <f>$L$22/$L$21*K21</f>
        <v>3.0082925053998748</v>
      </c>
      <c r="L22" s="839">
        <v>1.008</v>
      </c>
      <c r="M22" s="831">
        <f t="shared" ref="M22:P22" si="1">$L$22/$L$21*M21</f>
        <v>0.97334060563666536</v>
      </c>
      <c r="N22" s="831">
        <f t="shared" si="1"/>
        <v>0.96475555702598093</v>
      </c>
      <c r="O22" s="831">
        <f t="shared" si="1"/>
        <v>0.93015809697559793</v>
      </c>
      <c r="P22" s="831">
        <f t="shared" si="1"/>
        <v>0.90695655050832102</v>
      </c>
      <c r="Q22" s="839">
        <v>1.0581</v>
      </c>
      <c r="R22" s="831">
        <f>$Q$22/$Q$21*R21</f>
        <v>0.98147103653914192</v>
      </c>
      <c r="S22" s="831">
        <f t="shared" ref="S22:U22" si="2">$Q$22/$Q$21*S21</f>
        <v>1.0222186081770861</v>
      </c>
      <c r="T22" s="831">
        <f t="shared" si="2"/>
        <v>1.0032886339515845</v>
      </c>
      <c r="U22" s="831">
        <f t="shared" si="2"/>
        <v>1.0839816596755447</v>
      </c>
      <c r="V22" s="839">
        <v>1.0091000000000001</v>
      </c>
      <c r="W22" s="831">
        <f>$V$22/$V$21*W21</f>
        <v>0.99603692942754196</v>
      </c>
      <c r="X22" s="831">
        <f t="shared" ref="X22:Z22" si="3">$V$22/$V$21*X21</f>
        <v>0.67901324909898597</v>
      </c>
      <c r="Y22" s="831">
        <f t="shared" si="3"/>
        <v>0.67958837943173256</v>
      </c>
      <c r="Z22" s="831">
        <f t="shared" si="3"/>
        <v>0.6657175890537258</v>
      </c>
      <c r="AA22" s="839">
        <v>0.74</v>
      </c>
      <c r="AB22" s="831">
        <f>$AA$22/$AA$21*AB21</f>
        <v>0.71613190936340576</v>
      </c>
      <c r="AC22" s="831">
        <f t="shared" ref="AC22:AE22" si="4">$AA$22/$AA$21*AC21</f>
        <v>0.76709832938562483</v>
      </c>
      <c r="AD22" s="831">
        <f t="shared" si="4"/>
        <v>0.88350713731737485</v>
      </c>
      <c r="AE22" s="831">
        <f t="shared" si="4"/>
        <v>0.86630117173580401</v>
      </c>
      <c r="AF22" s="839">
        <v>0.6643</v>
      </c>
      <c r="AG22" s="839">
        <v>0.75109999999999999</v>
      </c>
      <c r="AH22" s="839">
        <v>0.73970000000000002</v>
      </c>
      <c r="AI22" s="839">
        <v>0.83030000000000004</v>
      </c>
      <c r="AJ22" s="832">
        <f>$AI$22/$AI$21*AJ21</f>
        <v>0.79956102264829332</v>
      </c>
      <c r="AK22" s="840" t="s">
        <v>647</v>
      </c>
    </row>
    <row r="23" spans="1:38">
      <c r="A23" s="83" t="s">
        <v>98</v>
      </c>
      <c r="B23" s="831">
        <f>B21-B22</f>
        <v>25.043211774325428</v>
      </c>
      <c r="C23" s="831">
        <f t="shared" ref="C23:AC23" si="5">C21-C22</f>
        <v>27.779336942702251</v>
      </c>
      <c r="D23" s="831">
        <f t="shared" si="5"/>
        <v>30.589746052301976</v>
      </c>
      <c r="E23" s="831">
        <f t="shared" si="5"/>
        <v>33.302062265158646</v>
      </c>
      <c r="F23" s="831">
        <f t="shared" si="5"/>
        <v>36.772455621777212</v>
      </c>
      <c r="G23" s="831">
        <f t="shared" si="5"/>
        <v>38.268610386664079</v>
      </c>
      <c r="H23" s="831">
        <f t="shared" si="5"/>
        <v>41.69709998156717</v>
      </c>
      <c r="I23" s="831">
        <f t="shared" si="5"/>
        <v>50.497842300039231</v>
      </c>
      <c r="J23" s="831">
        <f t="shared" si="5"/>
        <v>55.052019311935489</v>
      </c>
      <c r="K23" s="831">
        <f t="shared" si="5"/>
        <v>60.135707494600126</v>
      </c>
      <c r="L23" s="831">
        <f t="shared" si="5"/>
        <v>20.149899999999999</v>
      </c>
      <c r="M23" s="831">
        <f t="shared" si="5"/>
        <v>19.457059394363334</v>
      </c>
      <c r="N23" s="831">
        <f t="shared" si="5"/>
        <v>19.285444442974018</v>
      </c>
      <c r="O23" s="831">
        <f t="shared" si="5"/>
        <v>18.593841903024401</v>
      </c>
      <c r="P23" s="831">
        <f t="shared" si="5"/>
        <v>18.13004344949168</v>
      </c>
      <c r="Q23" s="831">
        <f t="shared" si="5"/>
        <v>18.728899999999999</v>
      </c>
      <c r="R23" s="831">
        <f t="shared" si="5"/>
        <v>17.372528963460859</v>
      </c>
      <c r="S23" s="831">
        <f t="shared" si="5"/>
        <v>18.093781391822915</v>
      </c>
      <c r="T23" s="831">
        <f t="shared" si="5"/>
        <v>17.758711366048416</v>
      </c>
      <c r="U23" s="831">
        <f t="shared" si="5"/>
        <v>19.187018340324457</v>
      </c>
      <c r="V23" s="831">
        <f t="shared" si="5"/>
        <v>22.852899999999998</v>
      </c>
      <c r="W23" s="831">
        <f t="shared" si="5"/>
        <v>22.557063070572458</v>
      </c>
      <c r="X23" s="831">
        <f t="shared" si="5"/>
        <v>15.377486750901014</v>
      </c>
      <c r="Y23" s="831">
        <f t="shared" si="5"/>
        <v>15.390511620568267</v>
      </c>
      <c r="Z23" s="831">
        <f t="shared" si="5"/>
        <v>15.076382410946275</v>
      </c>
      <c r="AA23" s="831">
        <f t="shared" si="5"/>
        <v>18.3428</v>
      </c>
      <c r="AB23" s="831">
        <f t="shared" si="5"/>
        <v>17.751168090636593</v>
      </c>
      <c r="AC23" s="831">
        <f t="shared" si="5"/>
        <v>19.014501670614376</v>
      </c>
      <c r="AD23" s="831">
        <f t="shared" ref="AD23:AH23" si="6">AD21-AD22</f>
        <v>21.899992862682627</v>
      </c>
      <c r="AE23" s="831">
        <f t="shared" si="6"/>
        <v>21.473498828264198</v>
      </c>
      <c r="AF23" s="831">
        <f t="shared" si="6"/>
        <v>19.6707</v>
      </c>
      <c r="AG23" s="831">
        <f t="shared" si="6"/>
        <v>22.12</v>
      </c>
      <c r="AH23" s="831">
        <f t="shared" si="6"/>
        <v>21.304600000000001</v>
      </c>
      <c r="AI23" s="831">
        <f t="shared" ref="AI23" si="7">AI21-AI22</f>
        <v>24.960999999999999</v>
      </c>
      <c r="AJ23" s="832">
        <f t="shared" ref="AJ23" si="8">AJ21-AJ22</f>
        <v>24.036905559826629</v>
      </c>
      <c r="AK23" s="83"/>
    </row>
    <row r="24" spans="1:38">
      <c r="A24" s="83" t="s">
        <v>99</v>
      </c>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2"/>
      <c r="AK24" s="83"/>
    </row>
    <row r="25" spans="1:38">
      <c r="A25" s="83" t="s">
        <v>645</v>
      </c>
      <c r="B25" s="831"/>
      <c r="C25" s="831"/>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c r="AB25" s="831"/>
      <c r="AC25" s="831"/>
      <c r="AD25" s="831"/>
      <c r="AE25" s="831"/>
      <c r="AF25" s="831"/>
      <c r="AG25" s="831"/>
      <c r="AH25" s="831"/>
      <c r="AI25" s="839">
        <f>3.7/1000</f>
        <v>3.7000000000000002E-3</v>
      </c>
      <c r="AJ25" s="832">
        <f>$AI$25/$AI$21*AJ21</f>
        <v>3.5630203345762804E-3</v>
      </c>
      <c r="AK25" s="840" t="s">
        <v>647</v>
      </c>
    </row>
    <row r="26" spans="1:38">
      <c r="A26" s="83" t="s">
        <v>100</v>
      </c>
      <c r="B26" s="831">
        <f>B23-B24</f>
        <v>25.043211774325428</v>
      </c>
      <c r="C26" s="831">
        <f t="shared" ref="C26:AC26" si="9">C23-C24</f>
        <v>27.779336942702251</v>
      </c>
      <c r="D26" s="831">
        <f t="shared" si="9"/>
        <v>30.589746052301976</v>
      </c>
      <c r="E26" s="831">
        <f t="shared" si="9"/>
        <v>33.302062265158646</v>
      </c>
      <c r="F26" s="831">
        <f t="shared" si="9"/>
        <v>36.772455621777212</v>
      </c>
      <c r="G26" s="831">
        <f t="shared" si="9"/>
        <v>38.268610386664079</v>
      </c>
      <c r="H26" s="831">
        <f t="shared" si="9"/>
        <v>41.69709998156717</v>
      </c>
      <c r="I26" s="831">
        <f t="shared" si="9"/>
        <v>50.497842300039231</v>
      </c>
      <c r="J26" s="831">
        <f t="shared" si="9"/>
        <v>55.052019311935489</v>
      </c>
      <c r="K26" s="831">
        <f t="shared" si="9"/>
        <v>60.135707494600126</v>
      </c>
      <c r="L26" s="831">
        <f t="shared" si="9"/>
        <v>20.149899999999999</v>
      </c>
      <c r="M26" s="831">
        <f t="shared" si="9"/>
        <v>19.457059394363334</v>
      </c>
      <c r="N26" s="831">
        <f t="shared" si="9"/>
        <v>19.285444442974018</v>
      </c>
      <c r="O26" s="831">
        <f t="shared" si="9"/>
        <v>18.593841903024401</v>
      </c>
      <c r="P26" s="831">
        <f t="shared" si="9"/>
        <v>18.13004344949168</v>
      </c>
      <c r="Q26" s="831">
        <f t="shared" si="9"/>
        <v>18.728899999999999</v>
      </c>
      <c r="R26" s="831">
        <f t="shared" si="9"/>
        <v>17.372528963460859</v>
      </c>
      <c r="S26" s="831">
        <f t="shared" si="9"/>
        <v>18.093781391822915</v>
      </c>
      <c r="T26" s="831">
        <f t="shared" si="9"/>
        <v>17.758711366048416</v>
      </c>
      <c r="U26" s="831">
        <f t="shared" si="9"/>
        <v>19.187018340324457</v>
      </c>
      <c r="V26" s="831">
        <f t="shared" si="9"/>
        <v>22.852899999999998</v>
      </c>
      <c r="W26" s="831">
        <f t="shared" si="9"/>
        <v>22.557063070572458</v>
      </c>
      <c r="X26" s="831">
        <f t="shared" si="9"/>
        <v>15.377486750901014</v>
      </c>
      <c r="Y26" s="831">
        <f t="shared" si="9"/>
        <v>15.390511620568267</v>
      </c>
      <c r="Z26" s="831">
        <f t="shared" si="9"/>
        <v>15.076382410946275</v>
      </c>
      <c r="AA26" s="831">
        <f t="shared" si="9"/>
        <v>18.3428</v>
      </c>
      <c r="AB26" s="831">
        <f t="shared" si="9"/>
        <v>17.751168090636593</v>
      </c>
      <c r="AC26" s="831">
        <f t="shared" si="9"/>
        <v>19.014501670614376</v>
      </c>
      <c r="AD26" s="831">
        <f t="shared" ref="AD26:AH26" si="10">AD23-AD24</f>
        <v>21.899992862682627</v>
      </c>
      <c r="AE26" s="831">
        <f t="shared" si="10"/>
        <v>21.473498828264198</v>
      </c>
      <c r="AF26" s="831">
        <f t="shared" si="10"/>
        <v>19.6707</v>
      </c>
      <c r="AG26" s="831">
        <f t="shared" si="10"/>
        <v>22.12</v>
      </c>
      <c r="AH26" s="831">
        <f t="shared" si="10"/>
        <v>21.304600000000001</v>
      </c>
      <c r="AI26" s="831">
        <f>AI23-AI24-AI25</f>
        <v>24.9573</v>
      </c>
      <c r="AJ26" s="832">
        <f>AJ23-AJ24-AJ25</f>
        <v>24.033342539492054</v>
      </c>
      <c r="AK26" s="83"/>
    </row>
    <row r="27" spans="1:38">
      <c r="A27" s="83" t="s">
        <v>646</v>
      </c>
      <c r="B27" s="831">
        <f t="shared" ref="B27:J27" si="11">$L$27/$L$21*B21</f>
        <v>-2.5520588716271466</v>
      </c>
      <c r="C27" s="831">
        <f t="shared" si="11"/>
        <v>-2.8308870256499934</v>
      </c>
      <c r="D27" s="831">
        <f t="shared" si="11"/>
        <v>-3.117285174804683</v>
      </c>
      <c r="E27" s="831">
        <f t="shared" si="11"/>
        <v>-3.3936870483365555</v>
      </c>
      <c r="F27" s="831">
        <f t="shared" si="11"/>
        <v>-3.7473416927010721</v>
      </c>
      <c r="G27" s="831">
        <f t="shared" si="11"/>
        <v>-3.899809158753941</v>
      </c>
      <c r="H27" s="831">
        <f t="shared" si="11"/>
        <v>-4.2491935494543416</v>
      </c>
      <c r="I27" s="831">
        <f t="shared" si="11"/>
        <v>-5.1460438701383415</v>
      </c>
      <c r="J27" s="831">
        <f t="shared" si="11"/>
        <v>-5.6101428024520397</v>
      </c>
      <c r="K27" s="831">
        <f>$L$27/$L$21*K21</f>
        <v>-6.1282022128850215</v>
      </c>
      <c r="L27" s="839">
        <v>-2.0533999999999999</v>
      </c>
      <c r="M27" s="831">
        <f t="shared" ref="M27:P27" si="12">$L$27/$L$21*M21</f>
        <v>-1.9827952377126274</v>
      </c>
      <c r="N27" s="831">
        <f t="shared" si="12"/>
        <v>-1.9653066079336796</v>
      </c>
      <c r="O27" s="831">
        <f t="shared" si="12"/>
        <v>-1.8948280122318379</v>
      </c>
      <c r="P27" s="831">
        <f t="shared" si="12"/>
        <v>-1.8475640682676451</v>
      </c>
      <c r="Q27" s="839">
        <v>-3.6989999999999998</v>
      </c>
      <c r="R27" s="831">
        <f>$Q$27/$Q$21*R21</f>
        <v>-3.4311136604841561</v>
      </c>
      <c r="S27" s="831">
        <f t="shared" ref="S27:U27" si="13">$Q$27/$Q$21*S21</f>
        <v>-3.5735626421387781</v>
      </c>
      <c r="T27" s="831">
        <f t="shared" si="13"/>
        <v>-3.5073855561732454</v>
      </c>
      <c r="U27" s="831">
        <f t="shared" si="13"/>
        <v>-3.7894794056703898</v>
      </c>
      <c r="V27" s="839">
        <v>-8.7292000000000005</v>
      </c>
      <c r="W27" s="831">
        <f>$V$27/$V$21*W21</f>
        <v>-8.616198161092953</v>
      </c>
      <c r="X27" s="831">
        <f t="shared" ref="X27:Z27" si="14">$V$27/$V$21*X21</f>
        <v>-5.8737909563322441</v>
      </c>
      <c r="Y27" s="831">
        <f t="shared" si="14"/>
        <v>-5.8787661101332667</v>
      </c>
      <c r="Z27" s="831">
        <f t="shared" si="14"/>
        <v>-5.758777106696841</v>
      </c>
      <c r="AA27" s="839">
        <v>-1.9778</v>
      </c>
      <c r="AB27" s="831">
        <f>$AA$27/$AA$21*AB21</f>
        <v>-1.9140076896472213</v>
      </c>
      <c r="AC27" s="831">
        <f t="shared" ref="AC27:AE27" si="15">$AA$27/$AA$21*AC21</f>
        <v>-2.0502257781876874</v>
      </c>
      <c r="AD27" s="831">
        <f t="shared" si="15"/>
        <v>-2.3613519137652754</v>
      </c>
      <c r="AE27" s="831">
        <f t="shared" si="15"/>
        <v>-2.3153654830528017</v>
      </c>
      <c r="AF27" s="839">
        <v>-1.6418999999999999</v>
      </c>
      <c r="AG27" s="839">
        <v>-1.9177</v>
      </c>
      <c r="AH27" s="839">
        <v>-1.8776999999999999</v>
      </c>
      <c r="AI27" s="839">
        <v>-2.5950000000000002</v>
      </c>
      <c r="AJ27" s="832">
        <f>$AI$27/$AI$21*AJ21</f>
        <v>-2.4989291265474183</v>
      </c>
      <c r="AK27" s="840" t="s">
        <v>647</v>
      </c>
    </row>
    <row r="28" spans="1:38">
      <c r="A28" s="83" t="s">
        <v>101</v>
      </c>
      <c r="B28" s="831">
        <f>B26+B27</f>
        <v>22.491152902698282</v>
      </c>
      <c r="C28" s="831">
        <f t="shared" ref="C28:AC28" si="16">C26+C27</f>
        <v>24.948449917052258</v>
      </c>
      <c r="D28" s="831">
        <f t="shared" si="16"/>
        <v>27.472460877497294</v>
      </c>
      <c r="E28" s="831">
        <f t="shared" si="16"/>
        <v>29.90837521682209</v>
      </c>
      <c r="F28" s="831">
        <f t="shared" si="16"/>
        <v>33.025113929076142</v>
      </c>
      <c r="G28" s="831">
        <f t="shared" si="16"/>
        <v>34.36880122791014</v>
      </c>
      <c r="H28" s="831">
        <f t="shared" si="16"/>
        <v>37.447906432112831</v>
      </c>
      <c r="I28" s="831">
        <f t="shared" si="16"/>
        <v>45.351798429900889</v>
      </c>
      <c r="J28" s="831">
        <f t="shared" si="16"/>
        <v>49.44187650948345</v>
      </c>
      <c r="K28" s="831">
        <f t="shared" si="16"/>
        <v>54.007505281715105</v>
      </c>
      <c r="L28" s="831">
        <f t="shared" si="16"/>
        <v>18.096499999999999</v>
      </c>
      <c r="M28" s="831">
        <f t="shared" si="16"/>
        <v>17.474264156650708</v>
      </c>
      <c r="N28" s="831">
        <f t="shared" si="16"/>
        <v>17.320137835040338</v>
      </c>
      <c r="O28" s="831">
        <f t="shared" si="16"/>
        <v>16.699013890792564</v>
      </c>
      <c r="P28" s="831">
        <f t="shared" si="16"/>
        <v>16.282479381224036</v>
      </c>
      <c r="Q28" s="831">
        <f t="shared" si="16"/>
        <v>15.0299</v>
      </c>
      <c r="R28" s="831">
        <f t="shared" si="16"/>
        <v>13.941415302976703</v>
      </c>
      <c r="S28" s="831">
        <f t="shared" si="16"/>
        <v>14.520218749684137</v>
      </c>
      <c r="T28" s="831">
        <f t="shared" si="16"/>
        <v>14.251325809875171</v>
      </c>
      <c r="U28" s="831">
        <f t="shared" si="16"/>
        <v>15.397538934654067</v>
      </c>
      <c r="V28" s="831">
        <f t="shared" si="16"/>
        <v>14.123699999999998</v>
      </c>
      <c r="W28" s="831">
        <f t="shared" si="16"/>
        <v>13.940864909479505</v>
      </c>
      <c r="X28" s="831">
        <f t="shared" si="16"/>
        <v>9.5036957945687703</v>
      </c>
      <c r="Y28" s="831">
        <f t="shared" si="16"/>
        <v>9.5117455104350004</v>
      </c>
      <c r="Z28" s="831">
        <f t="shared" si="16"/>
        <v>9.3176053042494331</v>
      </c>
      <c r="AA28" s="831">
        <f t="shared" si="16"/>
        <v>16.365000000000002</v>
      </c>
      <c r="AB28" s="831">
        <f t="shared" si="16"/>
        <v>15.837160400989372</v>
      </c>
      <c r="AC28" s="831">
        <f t="shared" si="16"/>
        <v>16.964275892426688</v>
      </c>
      <c r="AD28" s="831">
        <f t="shared" ref="AD28:AH28" si="17">AD26+AD27</f>
        <v>19.538640948917351</v>
      </c>
      <c r="AE28" s="831">
        <f t="shared" si="17"/>
        <v>19.158133345211397</v>
      </c>
      <c r="AF28" s="831">
        <f t="shared" si="17"/>
        <v>18.0288</v>
      </c>
      <c r="AG28" s="831">
        <f t="shared" si="17"/>
        <v>20.202300000000001</v>
      </c>
      <c r="AH28" s="831">
        <f t="shared" si="17"/>
        <v>19.4269</v>
      </c>
      <c r="AI28" s="831">
        <f t="shared" ref="AI28" si="18">AI26+AI27</f>
        <v>22.362300000000001</v>
      </c>
      <c r="AJ28" s="832">
        <f t="shared" ref="AJ28" si="19">AJ26+AJ27</f>
        <v>21.534413412944637</v>
      </c>
      <c r="AK28" s="83"/>
    </row>
    <row r="29" spans="1:38">
      <c r="A29" s="83" t="s">
        <v>102</v>
      </c>
      <c r="B29" s="831">
        <f t="shared" ref="B29:J29" si="20">$L$29/$L$28*B28</f>
        <v>0.6190613246116109</v>
      </c>
      <c r="C29" s="831">
        <f t="shared" si="20"/>
        <v>0.68669758813492843</v>
      </c>
      <c r="D29" s="831">
        <f t="shared" si="20"/>
        <v>0.75617013030593783</v>
      </c>
      <c r="E29" s="831">
        <f t="shared" si="20"/>
        <v>0.82321784298063638</v>
      </c>
      <c r="F29" s="831">
        <f t="shared" si="20"/>
        <v>0.90900501467536976</v>
      </c>
      <c r="G29" s="831">
        <f t="shared" si="20"/>
        <v>0.94598955000259954</v>
      </c>
      <c r="H29" s="831">
        <f t="shared" si="20"/>
        <v>1.0307408722037634</v>
      </c>
      <c r="I29" s="831">
        <f t="shared" si="20"/>
        <v>1.2482928078873614</v>
      </c>
      <c r="J29" s="831">
        <f t="shared" si="20"/>
        <v>1.3608708142112402</v>
      </c>
      <c r="K29" s="831">
        <f>$L$29/$L$28*K28</f>
        <v>1.4865381914084104</v>
      </c>
      <c r="L29" s="839">
        <f>498.1/1000</f>
        <v>0.49810000000000004</v>
      </c>
      <c r="M29" s="831">
        <f t="shared" ref="M29:P29" si="21">$L$29/$L$28*M28</f>
        <v>0.48097317030518161</v>
      </c>
      <c r="N29" s="831">
        <f t="shared" si="21"/>
        <v>0.47673089578833444</v>
      </c>
      <c r="O29" s="831">
        <f t="shared" si="21"/>
        <v>0.45963467073764414</v>
      </c>
      <c r="P29" s="831">
        <f t="shared" si="21"/>
        <v>0.44816970020654234</v>
      </c>
      <c r="Q29" s="839">
        <f>247.9/1000</f>
        <v>0.24790000000000001</v>
      </c>
      <c r="R29" s="831">
        <f>$Q$29/$Q$28*R28</f>
        <v>0.22994676302622938</v>
      </c>
      <c r="S29" s="831">
        <f t="shared" ref="S29:U29" si="22">$Q$29/$Q$28*S28</f>
        <v>0.23949342497599438</v>
      </c>
      <c r="T29" s="831">
        <f t="shared" si="22"/>
        <v>0.23505836155051299</v>
      </c>
      <c r="U29" s="831">
        <f t="shared" si="22"/>
        <v>0.25396375903370905</v>
      </c>
      <c r="V29" s="839">
        <f>267.2/1000</f>
        <v>0.26719999999999999</v>
      </c>
      <c r="W29" s="831">
        <f>$V$29/$V$28*W28</f>
        <v>0.26374102422261336</v>
      </c>
      <c r="X29" s="831">
        <f t="shared" ref="X29:Z29" si="23">$V$29/$V$28*X28</f>
        <v>0.17979619478669015</v>
      </c>
      <c r="Y29" s="831">
        <f t="shared" si="23"/>
        <v>0.17994848378174505</v>
      </c>
      <c r="Z29" s="831">
        <f t="shared" si="23"/>
        <v>0.17627563154806805</v>
      </c>
      <c r="AA29" s="839">
        <f>3.9/1000</f>
        <v>3.8999999999999998E-3</v>
      </c>
      <c r="AB29" s="831">
        <f>$AA$29/$AA$28*AB28</f>
        <v>3.7742087115098409E-3</v>
      </c>
      <c r="AC29" s="831">
        <f t="shared" ref="AC29:AE29" si="24">$AA$29/$AA$28*AC28</f>
        <v>4.0428155197350492E-3</v>
      </c>
      <c r="AD29" s="831">
        <f t="shared" si="24"/>
        <v>4.6563213993753537E-3</v>
      </c>
      <c r="AE29" s="831">
        <f t="shared" si="24"/>
        <v>4.5656413104995077E-3</v>
      </c>
      <c r="AF29" s="839">
        <f>31.7/1000</f>
        <v>3.1699999999999999E-2</v>
      </c>
      <c r="AG29" s="839">
        <f>42.8/1000</f>
        <v>4.2799999999999998E-2</v>
      </c>
      <c r="AH29" s="839">
        <f>25.7/1000</f>
        <v>2.5700000000000001E-2</v>
      </c>
      <c r="AI29" s="839">
        <f>46.6/1000</f>
        <v>4.6600000000000003E-2</v>
      </c>
      <c r="AJ29" s="832">
        <f>$AI$29/$AI$28*AJ28</f>
        <v>4.4874796646285048E-2</v>
      </c>
      <c r="AK29" s="840" t="s">
        <v>647</v>
      </c>
    </row>
    <row r="30" spans="1:38">
      <c r="A30" s="83" t="s">
        <v>52</v>
      </c>
      <c r="B30" s="831">
        <f>B28-B29</f>
        <v>21.872091578086671</v>
      </c>
      <c r="C30" s="831">
        <f t="shared" ref="C30:AC30" si="25">C28-C29</f>
        <v>24.261752328917328</v>
      </c>
      <c r="D30" s="831">
        <f t="shared" si="25"/>
        <v>26.716290747191355</v>
      </c>
      <c r="E30" s="831">
        <f t="shared" si="25"/>
        <v>29.085157373841454</v>
      </c>
      <c r="F30" s="831">
        <f t="shared" si="25"/>
        <v>32.116108914400769</v>
      </c>
      <c r="G30" s="831">
        <f t="shared" si="25"/>
        <v>33.422811677907539</v>
      </c>
      <c r="H30" s="831">
        <f t="shared" si="25"/>
        <v>36.417165559909066</v>
      </c>
      <c r="I30" s="831">
        <f t="shared" si="25"/>
        <v>44.103505622013529</v>
      </c>
      <c r="J30" s="831">
        <f t="shared" si="25"/>
        <v>48.081005695272211</v>
      </c>
      <c r="K30" s="831">
        <f t="shared" si="25"/>
        <v>52.520967090306698</v>
      </c>
      <c r="L30" s="831">
        <f t="shared" si="25"/>
        <v>17.598399999999998</v>
      </c>
      <c r="M30" s="831">
        <f t="shared" si="25"/>
        <v>16.993290986345528</v>
      </c>
      <c r="N30" s="831">
        <f t="shared" si="25"/>
        <v>16.843406939252002</v>
      </c>
      <c r="O30" s="831">
        <f t="shared" si="25"/>
        <v>16.239379220054921</v>
      </c>
      <c r="P30" s="831">
        <f t="shared" si="25"/>
        <v>15.834309681017494</v>
      </c>
      <c r="Q30" s="831">
        <f t="shared" si="25"/>
        <v>14.782</v>
      </c>
      <c r="R30" s="831">
        <f t="shared" si="25"/>
        <v>13.711468539950474</v>
      </c>
      <c r="S30" s="831">
        <f t="shared" si="25"/>
        <v>14.280725324708142</v>
      </c>
      <c r="T30" s="831">
        <f t="shared" si="25"/>
        <v>14.016267448324658</v>
      </c>
      <c r="U30" s="831">
        <f t="shared" si="25"/>
        <v>15.143575175620358</v>
      </c>
      <c r="V30" s="831">
        <f t="shared" si="25"/>
        <v>13.856499999999997</v>
      </c>
      <c r="W30" s="831">
        <f t="shared" si="25"/>
        <v>13.677123885256892</v>
      </c>
      <c r="X30" s="831">
        <f t="shared" si="25"/>
        <v>9.3238995997820808</v>
      </c>
      <c r="Y30" s="831">
        <f t="shared" si="25"/>
        <v>9.3317970266532555</v>
      </c>
      <c r="Z30" s="831">
        <f t="shared" si="25"/>
        <v>9.1413296727013655</v>
      </c>
      <c r="AA30" s="831">
        <f t="shared" si="25"/>
        <v>16.3611</v>
      </c>
      <c r="AB30" s="831">
        <f t="shared" si="25"/>
        <v>15.833386192277862</v>
      </c>
      <c r="AC30" s="831">
        <f t="shared" si="25"/>
        <v>16.960233076906952</v>
      </c>
      <c r="AD30" s="831">
        <f t="shared" ref="AD30:AH30" si="26">AD28-AD29</f>
        <v>19.533984627517974</v>
      </c>
      <c r="AE30" s="831">
        <f t="shared" si="26"/>
        <v>19.153567703900897</v>
      </c>
      <c r="AF30" s="831">
        <f t="shared" si="26"/>
        <v>17.9971</v>
      </c>
      <c r="AG30" s="831">
        <f t="shared" si="26"/>
        <v>20.159500000000001</v>
      </c>
      <c r="AH30" s="831">
        <f t="shared" si="26"/>
        <v>19.401199999999999</v>
      </c>
      <c r="AI30" s="831">
        <f t="shared" ref="AI30" si="27">AI28-AI29</f>
        <v>22.3157</v>
      </c>
      <c r="AJ30" s="832">
        <f t="shared" ref="AJ30" si="28">AJ28-AJ29</f>
        <v>21.489538616298351</v>
      </c>
      <c r="AK30" s="83"/>
    </row>
    <row r="31" spans="1:38">
      <c r="T31" s="100"/>
    </row>
    <row r="32" spans="1:38">
      <c r="T32" s="100"/>
    </row>
    <row r="33" spans="17:36">
      <c r="Q33" s="624"/>
      <c r="R33" s="624"/>
      <c r="S33" s="624"/>
      <c r="T33" s="624"/>
      <c r="U33" s="624"/>
      <c r="V33" s="624"/>
      <c r="W33" s="624"/>
      <c r="X33" s="624"/>
      <c r="Y33" s="624"/>
      <c r="Z33" s="624"/>
      <c r="AA33" s="624"/>
      <c r="AB33" s="624"/>
      <c r="AC33" s="624"/>
      <c r="AD33" s="624"/>
      <c r="AE33" s="624"/>
      <c r="AF33" s="624"/>
      <c r="AG33" s="624"/>
      <c r="AH33" s="624"/>
      <c r="AI33" s="624"/>
      <c r="AJ33" s="624"/>
    </row>
    <row r="34" spans="17:36">
      <c r="AE34" s="431"/>
      <c r="AF34" s="431"/>
      <c r="AG34" s="431"/>
      <c r="AH34" s="431"/>
      <c r="AI34" s="431"/>
    </row>
    <row r="36" spans="17:36">
      <c r="X36" s="431"/>
      <c r="Y36" s="431"/>
      <c r="Z36" s="431"/>
      <c r="AA36" s="431"/>
      <c r="AB36" s="431"/>
      <c r="AC36" s="431"/>
    </row>
    <row r="37" spans="17:36">
      <c r="AB37" s="431"/>
      <c r="AC37" s="431"/>
    </row>
  </sheetData>
  <mergeCells count="1">
    <mergeCell ref="A4:A5"/>
  </mergeCells>
  <hyperlinks>
    <hyperlink ref="A1" location="Indice!A1" display="Torna indietro" xr:uid="{00000000-0004-0000-0E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8"/>
  <dimension ref="A1:AJ91"/>
  <sheetViews>
    <sheetView showGridLines="0" zoomScale="85" zoomScaleNormal="85" workbookViewId="0">
      <pane xSplit="1" ySplit="4" topLeftCell="B25" activePane="bottomRight" state="frozen"/>
      <selection activeCell="O30" sqref="O30"/>
      <selection pane="topRight" activeCell="O30" sqref="O30"/>
      <selection pane="bottomLeft" activeCell="O30" sqref="O30"/>
      <selection pane="bottomRight" activeCell="O30" sqref="O30"/>
    </sheetView>
  </sheetViews>
  <sheetFormatPr defaultColWidth="9.21875" defaultRowHeight="15.6"/>
  <cols>
    <col min="1" max="1" width="13.21875" style="12" customWidth="1"/>
    <col min="2" max="2" width="15.33203125" style="12" customWidth="1"/>
    <col min="3" max="5" width="14.21875" style="12" customWidth="1"/>
    <col min="6" max="6" width="14.21875" customWidth="1"/>
    <col min="7" max="9" width="14.21875" style="12" customWidth="1"/>
    <col min="10" max="10" width="9.33203125" bestFit="1" customWidth="1"/>
    <col min="11" max="11" width="7.33203125" bestFit="1" customWidth="1"/>
    <col min="12" max="17" width="7.33203125" style="12" bestFit="1" customWidth="1"/>
    <col min="18" max="18" width="10.5546875" style="12" bestFit="1" customWidth="1"/>
    <col min="19" max="19" width="10.77734375" style="12" bestFit="1" customWidth="1"/>
    <col min="21" max="27" width="9.21875" style="12"/>
    <col min="28" max="28" width="11.21875" style="12" bestFit="1" customWidth="1"/>
    <col min="29" max="16384" width="9.21875" style="12"/>
  </cols>
  <sheetData>
    <row r="1" spans="1:29">
      <c r="A1" s="608" t="s">
        <v>57</v>
      </c>
      <c r="B1" s="608"/>
      <c r="S1" s="216"/>
    </row>
    <row r="2" spans="1:29">
      <c r="M2" s="216"/>
    </row>
    <row r="3" spans="1:29" ht="18">
      <c r="A3" s="47" t="s">
        <v>627</v>
      </c>
      <c r="R3" s="216"/>
    </row>
    <row r="4" spans="1:29" ht="66.599999999999994" customHeight="1">
      <c r="A4" s="886" t="s">
        <v>51</v>
      </c>
      <c r="B4" s="784" t="s">
        <v>607</v>
      </c>
      <c r="C4" s="784" t="s">
        <v>172</v>
      </c>
      <c r="D4" s="784" t="s">
        <v>171</v>
      </c>
      <c r="E4" s="784" t="s">
        <v>603</v>
      </c>
      <c r="F4" s="784" t="s">
        <v>587</v>
      </c>
      <c r="G4" s="784" t="s">
        <v>604</v>
      </c>
      <c r="H4" s="784" t="s">
        <v>605</v>
      </c>
      <c r="I4" s="784" t="s">
        <v>606</v>
      </c>
      <c r="N4" s="216"/>
      <c r="O4" s="216"/>
    </row>
    <row r="5" spans="1:29" ht="19.95" customHeight="1">
      <c r="A5" s="887"/>
      <c r="B5" s="888" t="s">
        <v>53</v>
      </c>
      <c r="C5" s="889"/>
      <c r="D5" s="889"/>
      <c r="E5" s="889"/>
      <c r="F5" s="889"/>
      <c r="G5" s="889"/>
      <c r="H5" s="889"/>
      <c r="I5" s="890"/>
      <c r="P5" s="216"/>
    </row>
    <row r="6" spans="1:29">
      <c r="A6" s="45">
        <v>1990</v>
      </c>
      <c r="B6" s="180">
        <v>709.16914863372835</v>
      </c>
      <c r="C6" s="180">
        <v>708.96430485884855</v>
      </c>
      <c r="D6" s="180">
        <v>593.03378797824359</v>
      </c>
      <c r="E6" s="180">
        <v>577.77003540666203</v>
      </c>
      <c r="F6" s="820">
        <v>505.55677957860439</v>
      </c>
      <c r="G6" s="820">
        <v>708.96430485884855</v>
      </c>
      <c r="H6" s="820">
        <v>593.03378797824359</v>
      </c>
      <c r="I6" s="823" t="s">
        <v>22</v>
      </c>
      <c r="J6" s="786"/>
      <c r="K6" s="786"/>
      <c r="L6" s="786"/>
      <c r="M6" s="786"/>
      <c r="N6" s="786"/>
      <c r="O6" s="786"/>
      <c r="P6" s="786"/>
      <c r="Q6" s="786"/>
      <c r="R6" s="472"/>
      <c r="S6" s="472"/>
      <c r="T6" s="472"/>
      <c r="U6" s="472"/>
      <c r="V6" s="472"/>
      <c r="W6" s="472"/>
      <c r="X6" s="472"/>
      <c r="Y6" s="472"/>
      <c r="Z6" s="472"/>
      <c r="AA6" s="472"/>
      <c r="AB6" s="549"/>
      <c r="AC6" s="114"/>
    </row>
    <row r="7" spans="1:29">
      <c r="A7" s="45">
        <v>1991</v>
      </c>
      <c r="B7" s="820">
        <v>708.83810088042674</v>
      </c>
      <c r="C7" s="820">
        <v>708.42104089505153</v>
      </c>
      <c r="D7" s="820">
        <v>561.09539502567782</v>
      </c>
      <c r="E7" s="820">
        <v>547.95645038574719</v>
      </c>
      <c r="F7" s="820">
        <v>479.348233437148</v>
      </c>
      <c r="G7" s="820">
        <v>708.42104089505153</v>
      </c>
      <c r="H7" s="820">
        <v>561.09539502567782</v>
      </c>
      <c r="I7" s="823" t="s">
        <v>22</v>
      </c>
      <c r="J7" s="786"/>
      <c r="K7" s="786"/>
      <c r="L7" s="786"/>
      <c r="M7" s="786"/>
      <c r="N7" s="786"/>
      <c r="O7" s="786"/>
      <c r="P7" s="786"/>
      <c r="Q7" s="786"/>
      <c r="R7" s="472"/>
      <c r="S7" s="472"/>
      <c r="T7" s="472"/>
      <c r="U7" s="472"/>
      <c r="V7" s="472"/>
      <c r="W7" s="472"/>
      <c r="X7" s="472"/>
      <c r="Y7" s="472"/>
      <c r="Z7" s="549"/>
      <c r="AA7" s="549"/>
      <c r="AC7" s="114"/>
    </row>
    <row r="8" spans="1:29">
      <c r="A8" s="45">
        <v>1992</v>
      </c>
      <c r="B8" s="820">
        <v>693.05847536592046</v>
      </c>
      <c r="C8" s="820">
        <v>692.69823751163017</v>
      </c>
      <c r="D8" s="820">
        <v>550.62336143084553</v>
      </c>
      <c r="E8" s="820">
        <v>537.58381298240238</v>
      </c>
      <c r="F8" s="820">
        <v>471.22285955170139</v>
      </c>
      <c r="G8" s="820">
        <v>692.69823751163017</v>
      </c>
      <c r="H8" s="820">
        <v>550.62336143084553</v>
      </c>
      <c r="I8" s="823" t="s">
        <v>22</v>
      </c>
      <c r="J8" s="786"/>
      <c r="K8" s="786"/>
      <c r="L8" s="786"/>
      <c r="M8" s="786"/>
      <c r="N8" s="786"/>
      <c r="O8" s="786"/>
      <c r="P8" s="786"/>
      <c r="Q8" s="786"/>
      <c r="R8" s="472"/>
      <c r="S8" s="472"/>
      <c r="T8" s="472"/>
      <c r="U8" s="472"/>
      <c r="V8" s="472"/>
      <c r="W8" s="472"/>
      <c r="X8" s="472"/>
      <c r="Y8" s="472"/>
      <c r="Z8" s="549"/>
      <c r="AA8" s="549"/>
      <c r="AC8" s="114"/>
    </row>
    <row r="9" spans="1:29">
      <c r="A9" s="45">
        <v>1993</v>
      </c>
      <c r="B9" s="820">
        <v>679.75185739219626</v>
      </c>
      <c r="C9" s="820">
        <v>679.34705320771866</v>
      </c>
      <c r="D9" s="820">
        <v>539.89765718487138</v>
      </c>
      <c r="E9" s="820">
        <v>518.15923323356321</v>
      </c>
      <c r="F9" s="820">
        <v>453.57147773798738</v>
      </c>
      <c r="G9" s="820">
        <v>679.34705320771866</v>
      </c>
      <c r="H9" s="820">
        <v>539.89765718487138</v>
      </c>
      <c r="I9" s="823" t="s">
        <v>22</v>
      </c>
      <c r="J9" s="786"/>
      <c r="K9" s="786"/>
      <c r="L9" s="786"/>
      <c r="M9" s="786"/>
      <c r="N9" s="786"/>
      <c r="O9" s="786"/>
      <c r="P9" s="786"/>
      <c r="Q9" s="786"/>
      <c r="R9" s="472"/>
      <c r="S9" s="472"/>
      <c r="T9" s="472"/>
      <c r="U9" s="472"/>
      <c r="V9" s="472"/>
      <c r="W9" s="472"/>
      <c r="X9" s="472"/>
      <c r="Y9" s="472"/>
      <c r="Z9" s="549"/>
      <c r="AA9" s="549"/>
      <c r="AC9" s="114"/>
    </row>
    <row r="10" spans="1:29">
      <c r="A10" s="45">
        <v>1994</v>
      </c>
      <c r="B10" s="821">
        <v>678.21687089051716</v>
      </c>
      <c r="C10" s="821">
        <v>677.5022253034108</v>
      </c>
      <c r="D10" s="821">
        <v>535.0568549944993</v>
      </c>
      <c r="E10" s="821">
        <v>517.38031201402998</v>
      </c>
      <c r="F10" s="821">
        <v>455.73524326904396</v>
      </c>
      <c r="G10" s="821">
        <v>677.5022253034108</v>
      </c>
      <c r="H10" s="821">
        <v>535.0568549944993</v>
      </c>
      <c r="I10" s="824" t="s">
        <v>22</v>
      </c>
      <c r="J10" s="786"/>
      <c r="K10" s="786"/>
      <c r="L10" s="786"/>
      <c r="M10" s="786"/>
      <c r="N10" s="786"/>
      <c r="O10" s="786"/>
      <c r="P10" s="786"/>
      <c r="Q10" s="786"/>
      <c r="R10" s="472"/>
      <c r="S10" s="472"/>
      <c r="T10" s="472"/>
      <c r="U10" s="472"/>
      <c r="V10" s="472"/>
      <c r="W10" s="472"/>
      <c r="X10" s="472"/>
      <c r="Y10" s="472"/>
      <c r="Z10" s="549"/>
      <c r="AA10" s="549"/>
      <c r="AC10" s="114"/>
    </row>
    <row r="11" spans="1:29">
      <c r="A11" s="45">
        <v>1995</v>
      </c>
      <c r="B11" s="820">
        <v>681.46768359337227</v>
      </c>
      <c r="C11" s="820">
        <v>680.41520372675518</v>
      </c>
      <c r="D11" s="820">
        <v>562.20043880290734</v>
      </c>
      <c r="E11" s="820">
        <v>548.11219310472268</v>
      </c>
      <c r="F11" s="820">
        <v>481.5867919805579</v>
      </c>
      <c r="G11" s="820">
        <v>680.41520372675518</v>
      </c>
      <c r="H11" s="820">
        <v>562.20043880290734</v>
      </c>
      <c r="I11" s="823" t="s">
        <v>22</v>
      </c>
      <c r="J11" s="786"/>
      <c r="K11" s="786"/>
      <c r="L11" s="786"/>
      <c r="M11" s="786"/>
      <c r="N11" s="786"/>
      <c r="O11" s="786"/>
      <c r="P11" s="786"/>
      <c r="Q11" s="786"/>
      <c r="R11" s="472"/>
      <c r="S11" s="472"/>
      <c r="T11" s="472"/>
      <c r="U11" s="472"/>
      <c r="V11" s="472"/>
      <c r="W11" s="472"/>
      <c r="X11" s="472"/>
      <c r="Y11" s="472"/>
      <c r="Z11" s="549"/>
      <c r="AA11" s="549"/>
      <c r="AC11" s="114"/>
    </row>
    <row r="12" spans="1:29">
      <c r="A12" s="45">
        <v>1996</v>
      </c>
      <c r="B12" s="820">
        <v>675.36494355402931</v>
      </c>
      <c r="C12" s="820">
        <v>673.6757635446545</v>
      </c>
      <c r="D12" s="820">
        <v>544.66620210552173</v>
      </c>
      <c r="E12" s="820">
        <v>530.14783487066802</v>
      </c>
      <c r="F12" s="820">
        <v>467.19911495302063</v>
      </c>
      <c r="G12" s="820">
        <v>673.6757635446545</v>
      </c>
      <c r="H12" s="820">
        <v>544.66620210552173</v>
      </c>
      <c r="I12" s="823" t="s">
        <v>22</v>
      </c>
      <c r="J12" s="786"/>
      <c r="K12" s="786"/>
      <c r="L12" s="786"/>
      <c r="M12" s="786"/>
      <c r="N12" s="786"/>
      <c r="O12" s="786"/>
      <c r="P12" s="786"/>
      <c r="Q12" s="786"/>
      <c r="R12" s="472"/>
      <c r="S12" s="472"/>
      <c r="T12" s="472"/>
      <c r="U12" s="472"/>
      <c r="V12" s="472"/>
      <c r="W12" s="472"/>
      <c r="X12" s="472"/>
      <c r="Y12" s="472"/>
      <c r="Z12" s="549"/>
      <c r="AA12" s="549"/>
      <c r="AC12" s="114"/>
    </row>
    <row r="13" spans="1:29">
      <c r="A13" s="45">
        <v>1997</v>
      </c>
      <c r="B13" s="820">
        <v>662.14618496906257</v>
      </c>
      <c r="C13" s="820">
        <v>659.8581428037412</v>
      </c>
      <c r="D13" s="820">
        <v>537.7001993375161</v>
      </c>
      <c r="E13" s="820">
        <v>522.54450768808999</v>
      </c>
      <c r="F13" s="820">
        <v>460.76525682628562</v>
      </c>
      <c r="G13" s="820">
        <v>659.8581428037412</v>
      </c>
      <c r="H13" s="820">
        <v>537.7001993375161</v>
      </c>
      <c r="I13" s="823" t="s">
        <v>22</v>
      </c>
      <c r="J13" s="786"/>
      <c r="K13" s="786"/>
      <c r="L13" s="786"/>
      <c r="M13" s="786"/>
      <c r="N13" s="786"/>
      <c r="O13" s="786"/>
      <c r="P13" s="786"/>
      <c r="Q13" s="786"/>
      <c r="R13" s="472"/>
      <c r="S13" s="472"/>
      <c r="T13" s="472"/>
      <c r="U13" s="472"/>
      <c r="V13" s="472"/>
      <c r="W13" s="472"/>
      <c r="X13" s="472"/>
      <c r="Y13" s="472"/>
      <c r="Z13" s="549"/>
      <c r="AA13" s="549"/>
      <c r="AC13" s="114"/>
    </row>
    <row r="14" spans="1:29">
      <c r="A14" s="45">
        <v>1998</v>
      </c>
      <c r="B14" s="180">
        <v>663.39838904134638</v>
      </c>
      <c r="C14" s="180">
        <v>660.21973933186496</v>
      </c>
      <c r="D14" s="180">
        <v>541.3328657625508</v>
      </c>
      <c r="E14" s="180">
        <v>526.4837446954416</v>
      </c>
      <c r="F14" s="180">
        <v>462.39297120310056</v>
      </c>
      <c r="G14" s="180">
        <v>660.21973933186496</v>
      </c>
      <c r="H14" s="180">
        <v>541.3328657625508</v>
      </c>
      <c r="I14" s="825" t="s">
        <v>22</v>
      </c>
      <c r="J14" s="786"/>
      <c r="K14" s="786"/>
      <c r="L14" s="786"/>
      <c r="M14" s="786"/>
      <c r="N14" s="786"/>
      <c r="O14" s="786"/>
      <c r="P14" s="786"/>
      <c r="Q14" s="786"/>
      <c r="R14" s="472"/>
      <c r="S14" s="472"/>
      <c r="T14" s="472"/>
      <c r="U14" s="472"/>
      <c r="V14" s="472"/>
      <c r="W14" s="472"/>
      <c r="X14" s="472"/>
      <c r="Y14" s="472"/>
      <c r="Z14" s="549"/>
      <c r="AA14" s="549"/>
      <c r="AC14" s="114"/>
    </row>
    <row r="15" spans="1:29">
      <c r="A15" s="45">
        <v>1999</v>
      </c>
      <c r="B15" s="821">
        <v>646.60488779180412</v>
      </c>
      <c r="C15" s="821">
        <v>641.97865987846069</v>
      </c>
      <c r="D15" s="821">
        <v>517.71649794022892</v>
      </c>
      <c r="E15" s="821">
        <v>502.16424988386592</v>
      </c>
      <c r="F15" s="821">
        <v>441.62944836105163</v>
      </c>
      <c r="G15" s="821">
        <v>641.97865987846069</v>
      </c>
      <c r="H15" s="821">
        <v>517.71649794022892</v>
      </c>
      <c r="I15" s="824" t="s">
        <v>22</v>
      </c>
      <c r="J15" s="786"/>
      <c r="K15" s="786"/>
      <c r="L15" s="786"/>
      <c r="M15" s="786"/>
      <c r="N15" s="786"/>
      <c r="O15" s="786"/>
      <c r="P15" s="786"/>
      <c r="Q15" s="786"/>
      <c r="R15" s="472"/>
      <c r="S15" s="472"/>
      <c r="T15" s="472"/>
      <c r="U15" s="472"/>
      <c r="V15" s="472"/>
      <c r="W15" s="472"/>
      <c r="X15" s="472"/>
      <c r="Y15" s="472"/>
      <c r="Z15" s="549"/>
      <c r="AA15" s="549"/>
      <c r="AC15" s="114"/>
    </row>
    <row r="16" spans="1:29">
      <c r="A16" s="45">
        <v>2000</v>
      </c>
      <c r="B16" s="180">
        <v>638.10421597110633</v>
      </c>
      <c r="C16" s="180">
        <v>633.74933473340207</v>
      </c>
      <c r="D16" s="180">
        <v>517.56928550281634</v>
      </c>
      <c r="E16" s="180">
        <v>500.19297350841993</v>
      </c>
      <c r="F16" s="180">
        <v>440.68189651392595</v>
      </c>
      <c r="G16" s="180">
        <v>633.74933473340207</v>
      </c>
      <c r="H16" s="180">
        <v>517.56928550281634</v>
      </c>
      <c r="I16" s="825" t="s">
        <v>22</v>
      </c>
      <c r="J16" s="786"/>
      <c r="K16" s="786"/>
      <c r="L16" s="786"/>
      <c r="M16" s="786"/>
      <c r="N16" s="786"/>
      <c r="O16" s="786"/>
      <c r="P16" s="786"/>
      <c r="Q16" s="786"/>
      <c r="R16" s="472"/>
      <c r="S16" s="472"/>
      <c r="T16" s="472"/>
      <c r="U16" s="472"/>
      <c r="V16" s="472"/>
      <c r="W16" s="472"/>
      <c r="X16" s="472"/>
      <c r="Y16" s="472"/>
      <c r="Z16" s="549"/>
      <c r="AA16" s="549"/>
      <c r="AC16" s="114"/>
    </row>
    <row r="17" spans="1:29">
      <c r="A17" s="45">
        <v>2001</v>
      </c>
      <c r="B17" s="180">
        <v>634.67017617650799</v>
      </c>
      <c r="C17" s="180">
        <v>629.00576676883998</v>
      </c>
      <c r="D17" s="180">
        <v>507.51711738702704</v>
      </c>
      <c r="E17" s="180">
        <v>483.34468852732414</v>
      </c>
      <c r="F17" s="180">
        <v>426.97789830693125</v>
      </c>
      <c r="G17" s="180">
        <v>629.00576676883998</v>
      </c>
      <c r="H17" s="180">
        <v>507.51711738702704</v>
      </c>
      <c r="I17" s="825" t="s">
        <v>22</v>
      </c>
      <c r="J17" s="786"/>
      <c r="K17" s="786"/>
      <c r="L17" s="786"/>
      <c r="M17" s="786"/>
      <c r="N17" s="786"/>
      <c r="O17" s="786"/>
      <c r="P17" s="786"/>
      <c r="Q17" s="786"/>
      <c r="R17" s="472"/>
      <c r="S17" s="472"/>
      <c r="T17" s="472"/>
      <c r="U17" s="472"/>
      <c r="V17" s="472"/>
      <c r="W17" s="472"/>
      <c r="X17" s="472"/>
      <c r="Y17" s="472"/>
      <c r="Z17" s="549"/>
      <c r="AA17" s="549"/>
      <c r="AC17" s="114"/>
    </row>
    <row r="18" spans="1:29">
      <c r="A18" s="45">
        <v>2002</v>
      </c>
      <c r="B18" s="180">
        <v>647.40499291304309</v>
      </c>
      <c r="C18" s="180">
        <v>639.84430013663234</v>
      </c>
      <c r="D18" s="180">
        <v>534.69944560910687</v>
      </c>
      <c r="E18" s="180">
        <v>510.02548274700109</v>
      </c>
      <c r="F18" s="180">
        <v>447.63634673813021</v>
      </c>
      <c r="G18" s="180">
        <v>639.84430013663234</v>
      </c>
      <c r="H18" s="180">
        <v>534.69944560910687</v>
      </c>
      <c r="I18" s="825" t="s">
        <v>22</v>
      </c>
      <c r="J18" s="786"/>
      <c r="K18" s="786"/>
      <c r="L18" s="786"/>
      <c r="M18" s="786"/>
      <c r="N18" s="786"/>
      <c r="O18" s="786"/>
      <c r="P18" s="786"/>
      <c r="Q18" s="786"/>
      <c r="R18" s="472"/>
      <c r="S18" s="472"/>
      <c r="T18" s="472"/>
      <c r="U18" s="472"/>
      <c r="V18" s="472"/>
      <c r="W18" s="472"/>
      <c r="X18" s="472"/>
      <c r="Y18" s="472"/>
      <c r="Z18" s="549"/>
      <c r="AA18" s="549"/>
      <c r="AC18" s="114"/>
    </row>
    <row r="19" spans="1:29">
      <c r="A19" s="45">
        <v>2003</v>
      </c>
      <c r="B19" s="180">
        <v>611.34480424821641</v>
      </c>
      <c r="C19" s="180">
        <v>602.31243247863199</v>
      </c>
      <c r="D19" s="180">
        <v>510.80762687916723</v>
      </c>
      <c r="E19" s="180">
        <v>487.78637558923225</v>
      </c>
      <c r="F19" s="180">
        <v>429.62046310775992</v>
      </c>
      <c r="G19" s="180">
        <v>602.31243247863199</v>
      </c>
      <c r="H19" s="180">
        <v>510.80762687916723</v>
      </c>
      <c r="I19" s="825" t="s">
        <v>22</v>
      </c>
      <c r="J19" s="786"/>
      <c r="K19" s="786"/>
      <c r="L19" s="786"/>
      <c r="M19" s="786"/>
      <c r="N19" s="786"/>
      <c r="O19" s="786"/>
      <c r="P19" s="786"/>
      <c r="Q19" s="786"/>
      <c r="R19" s="472"/>
      <c r="S19" s="472"/>
      <c r="T19" s="472"/>
      <c r="U19" s="472"/>
      <c r="V19" s="472"/>
      <c r="W19" s="472"/>
      <c r="X19" s="472"/>
      <c r="Y19" s="472"/>
      <c r="Z19" s="549"/>
      <c r="AA19" s="549"/>
      <c r="AC19" s="114"/>
    </row>
    <row r="20" spans="1:29">
      <c r="A20" s="45">
        <v>2004</v>
      </c>
      <c r="B20" s="180">
        <v>608.7583289666477</v>
      </c>
      <c r="C20" s="180">
        <v>597.63099970252586</v>
      </c>
      <c r="D20" s="180">
        <v>497.31009128591432</v>
      </c>
      <c r="E20" s="180">
        <v>483.04194201361975</v>
      </c>
      <c r="F20" s="180">
        <v>427.5622838453553</v>
      </c>
      <c r="G20" s="180">
        <v>559.74855428966464</v>
      </c>
      <c r="H20" s="180">
        <v>479.98735280264907</v>
      </c>
      <c r="I20" s="826">
        <v>382.68986222722663</v>
      </c>
      <c r="J20" s="786"/>
      <c r="K20" s="786"/>
      <c r="L20" s="786"/>
      <c r="M20" s="786"/>
      <c r="N20" s="786"/>
      <c r="O20" s="786"/>
      <c r="P20" s="786"/>
      <c r="Q20" s="786"/>
      <c r="R20" s="472"/>
      <c r="S20" s="472"/>
      <c r="T20" s="472"/>
      <c r="U20" s="472"/>
      <c r="V20" s="472"/>
      <c r="W20" s="472"/>
      <c r="X20" s="472"/>
      <c r="Y20" s="472"/>
      <c r="Z20" s="549"/>
      <c r="AA20" s="549"/>
      <c r="AC20" s="114"/>
    </row>
    <row r="21" spans="1:29">
      <c r="A21" s="45">
        <v>2005</v>
      </c>
      <c r="B21" s="180">
        <v>583.10731930340819</v>
      </c>
      <c r="C21" s="180">
        <v>571.94377387630698</v>
      </c>
      <c r="D21" s="180">
        <v>487.61673063162397</v>
      </c>
      <c r="E21" s="180">
        <v>467.14999905583437</v>
      </c>
      <c r="F21" s="180">
        <v>415.08706769453994</v>
      </c>
      <c r="G21" s="180">
        <v>514.66306357324743</v>
      </c>
      <c r="H21" s="180">
        <v>450.39296217940154</v>
      </c>
      <c r="I21" s="180">
        <v>244.35811829796287</v>
      </c>
      <c r="J21" s="786"/>
      <c r="K21" s="786"/>
      <c r="L21" s="786"/>
      <c r="M21" s="786"/>
      <c r="N21" s="786"/>
      <c r="O21" s="786"/>
      <c r="P21" s="786"/>
      <c r="Q21" s="786"/>
      <c r="R21" s="472"/>
      <c r="S21" s="472"/>
      <c r="T21" s="472"/>
      <c r="U21" s="472"/>
      <c r="V21" s="472"/>
      <c r="W21" s="472"/>
      <c r="X21" s="472"/>
      <c r="Y21" s="472"/>
      <c r="Z21" s="549"/>
      <c r="AA21" s="549"/>
      <c r="AB21" s="508"/>
      <c r="AC21" s="114"/>
    </row>
    <row r="22" spans="1:29">
      <c r="A22" s="45">
        <v>2006</v>
      </c>
      <c r="B22" s="180">
        <v>574.00775122847188</v>
      </c>
      <c r="C22" s="180">
        <v>562.43342162720228</v>
      </c>
      <c r="D22" s="180">
        <v>479.21320165023036</v>
      </c>
      <c r="E22" s="180">
        <v>464.31207518609426</v>
      </c>
      <c r="F22" s="180">
        <v>415.33801142722967</v>
      </c>
      <c r="G22" s="180">
        <v>506.60973238067334</v>
      </c>
      <c r="H22" s="180">
        <v>443.54314973069307</v>
      </c>
      <c r="I22" s="180">
        <v>254.40212905187903</v>
      </c>
      <c r="J22" s="786"/>
      <c r="K22" s="786"/>
      <c r="L22" s="786"/>
      <c r="M22" s="786"/>
      <c r="N22" s="786"/>
      <c r="O22" s="786"/>
      <c r="P22" s="786"/>
      <c r="Q22" s="786"/>
      <c r="R22" s="472"/>
      <c r="S22" s="472"/>
      <c r="T22" s="472"/>
      <c r="U22" s="472"/>
      <c r="V22" s="472"/>
      <c r="W22" s="472"/>
      <c r="X22" s="472"/>
      <c r="Y22" s="472"/>
      <c r="Z22" s="549"/>
      <c r="AA22" s="549"/>
      <c r="AB22" s="508"/>
      <c r="AC22" s="114"/>
    </row>
    <row r="23" spans="1:29">
      <c r="A23" s="45">
        <v>2007</v>
      </c>
      <c r="B23" s="180">
        <v>560.5503156669198</v>
      </c>
      <c r="C23" s="180">
        <v>549.07361732759318</v>
      </c>
      <c r="D23" s="180">
        <v>473.43846458236317</v>
      </c>
      <c r="E23" s="180">
        <v>457.50997854080816</v>
      </c>
      <c r="F23" s="180">
        <v>408.97744481157901</v>
      </c>
      <c r="G23" s="180">
        <v>497.27241137567938</v>
      </c>
      <c r="H23" s="180">
        <v>439.42888013725644</v>
      </c>
      <c r="I23" s="180">
        <v>254.81570180840444</v>
      </c>
      <c r="J23" s="786"/>
      <c r="K23" s="786"/>
      <c r="L23" s="786"/>
      <c r="M23" s="786"/>
      <c r="N23" s="786"/>
      <c r="O23" s="786"/>
      <c r="P23" s="786"/>
      <c r="Q23" s="786"/>
      <c r="R23" s="472"/>
      <c r="S23" s="472"/>
      <c r="T23" s="472"/>
      <c r="U23" s="472"/>
      <c r="V23" s="472"/>
      <c r="W23" s="472"/>
      <c r="X23" s="472"/>
      <c r="Y23" s="472"/>
      <c r="Z23" s="549"/>
      <c r="AA23" s="549"/>
      <c r="AB23" s="508"/>
      <c r="AC23" s="114"/>
    </row>
    <row r="24" spans="1:29">
      <c r="A24" s="45">
        <v>2008</v>
      </c>
      <c r="B24" s="821">
        <v>555.58716979680321</v>
      </c>
      <c r="C24" s="821">
        <v>542.90262198517496</v>
      </c>
      <c r="D24" s="821">
        <v>452.51697596031028</v>
      </c>
      <c r="E24" s="821">
        <v>444.70023242580504</v>
      </c>
      <c r="F24" s="821">
        <v>399.15158074934544</v>
      </c>
      <c r="G24" s="821">
        <v>492.42736858768831</v>
      </c>
      <c r="H24" s="821">
        <v>422.70013440134949</v>
      </c>
      <c r="I24" s="821">
        <v>253.0512429616507</v>
      </c>
      <c r="J24" s="786"/>
      <c r="K24" s="786"/>
      <c r="L24" s="786"/>
      <c r="M24" s="786"/>
      <c r="N24" s="786"/>
      <c r="O24" s="786"/>
      <c r="P24" s="786"/>
      <c r="Q24" s="786"/>
      <c r="R24" s="472"/>
      <c r="S24" s="472"/>
      <c r="T24" s="472"/>
      <c r="U24" s="472"/>
      <c r="V24" s="472"/>
      <c r="W24" s="472"/>
      <c r="X24" s="472"/>
      <c r="Y24" s="472"/>
      <c r="Z24" s="549"/>
      <c r="AA24" s="549"/>
      <c r="AB24" s="508"/>
      <c r="AC24" s="114"/>
    </row>
    <row r="25" spans="1:29">
      <c r="A25" s="45">
        <v>2009</v>
      </c>
      <c r="B25" s="180">
        <v>546.65376851773942</v>
      </c>
      <c r="C25" s="180">
        <v>528.42693514697487</v>
      </c>
      <c r="D25" s="180">
        <v>415.35373573228645</v>
      </c>
      <c r="E25" s="180">
        <v>399.3158978075362</v>
      </c>
      <c r="F25" s="180">
        <v>357.04706380530746</v>
      </c>
      <c r="G25" s="180">
        <v>479.83122076121771</v>
      </c>
      <c r="H25" s="180">
        <v>392.38882638454493</v>
      </c>
      <c r="I25" s="180">
        <v>260.55631670292331</v>
      </c>
      <c r="J25" s="786"/>
      <c r="K25" s="786"/>
      <c r="L25" s="786"/>
      <c r="M25" s="786"/>
      <c r="N25" s="786"/>
      <c r="O25" s="786"/>
      <c r="P25" s="786"/>
      <c r="Q25" s="786"/>
      <c r="R25" s="472"/>
      <c r="S25" s="472"/>
      <c r="T25" s="472"/>
      <c r="U25" s="472"/>
      <c r="V25" s="472"/>
      <c r="W25" s="472"/>
      <c r="X25" s="472"/>
      <c r="Y25" s="472"/>
      <c r="Z25" s="549"/>
      <c r="AA25" s="549"/>
      <c r="AB25" s="508"/>
      <c r="AC25" s="114"/>
    </row>
    <row r="26" spans="1:29">
      <c r="A26" s="45">
        <v>2010</v>
      </c>
      <c r="B26" s="180">
        <v>548.71268496992889</v>
      </c>
      <c r="C26" s="180">
        <v>526.3129167115593</v>
      </c>
      <c r="D26" s="180">
        <v>407.36304443551535</v>
      </c>
      <c r="E26" s="180">
        <v>392.75865789104358</v>
      </c>
      <c r="F26" s="180">
        <v>352.92496973754436</v>
      </c>
      <c r="G26" s="180">
        <v>472.05655453920804</v>
      </c>
      <c r="H26" s="180">
        <v>382.27311196070917</v>
      </c>
      <c r="I26" s="180">
        <v>249.01244681412823</v>
      </c>
      <c r="J26" s="786"/>
      <c r="K26" s="786"/>
      <c r="L26" s="786"/>
      <c r="M26" s="786"/>
      <c r="N26" s="786"/>
      <c r="O26" s="786"/>
      <c r="P26" s="786"/>
      <c r="Q26" s="786"/>
      <c r="R26" s="472"/>
      <c r="S26" s="472"/>
      <c r="T26" s="472"/>
      <c r="U26" s="472"/>
      <c r="V26" s="472"/>
      <c r="W26" s="472"/>
      <c r="X26" s="472"/>
      <c r="Y26" s="472"/>
      <c r="Z26" s="549"/>
      <c r="AA26" s="549"/>
      <c r="AB26" s="508"/>
      <c r="AC26" s="114"/>
    </row>
    <row r="27" spans="1:29">
      <c r="A27" s="45">
        <v>2011</v>
      </c>
      <c r="B27" s="180">
        <v>549.31637291011464</v>
      </c>
      <c r="C27" s="180">
        <v>523.27715367380472</v>
      </c>
      <c r="D27" s="180">
        <v>397.73604730598964</v>
      </c>
      <c r="E27" s="180">
        <v>381.08161740581158</v>
      </c>
      <c r="F27" s="180">
        <v>343.38028807130354</v>
      </c>
      <c r="G27" s="180">
        <v>462.22851544666651</v>
      </c>
      <c r="H27" s="180">
        <v>369.77155588839383</v>
      </c>
      <c r="I27" s="180">
        <v>229.54246949846558</v>
      </c>
      <c r="J27" s="786"/>
      <c r="K27" s="786"/>
      <c r="L27" s="786"/>
      <c r="M27" s="786"/>
      <c r="N27" s="786"/>
      <c r="O27" s="786"/>
      <c r="P27" s="786"/>
      <c r="Q27" s="786"/>
      <c r="R27" s="472"/>
      <c r="S27" s="472"/>
      <c r="T27" s="472"/>
      <c r="U27" s="472"/>
      <c r="V27" s="472"/>
      <c r="W27" s="472"/>
      <c r="X27" s="472"/>
      <c r="Y27" s="472"/>
      <c r="Z27" s="549"/>
      <c r="AA27" s="549"/>
      <c r="AB27" s="508"/>
      <c r="AC27" s="114"/>
    </row>
    <row r="28" spans="1:29">
      <c r="A28" s="45">
        <v>2012</v>
      </c>
      <c r="B28" s="180">
        <v>564.60606569377455</v>
      </c>
      <c r="C28" s="180">
        <v>532.20039547814781</v>
      </c>
      <c r="D28" s="180">
        <v>389.46372855491978</v>
      </c>
      <c r="E28" s="180">
        <v>376.88875791521474</v>
      </c>
      <c r="F28" s="180">
        <v>338.3174549888185</v>
      </c>
      <c r="G28" s="180">
        <v>469.70370843117945</v>
      </c>
      <c r="H28" s="180">
        <v>363.83343981804967</v>
      </c>
      <c r="I28" s="180">
        <v>228.86589057372697</v>
      </c>
      <c r="J28" s="786"/>
      <c r="K28" s="786"/>
      <c r="L28" s="786"/>
      <c r="M28" s="786"/>
      <c r="N28" s="786"/>
      <c r="O28" s="786"/>
      <c r="P28" s="786"/>
      <c r="Q28" s="786"/>
      <c r="R28" s="472"/>
      <c r="S28" s="472"/>
      <c r="T28" s="472"/>
      <c r="U28" s="472"/>
      <c r="V28" s="472"/>
      <c r="W28" s="472"/>
      <c r="X28" s="472"/>
      <c r="Y28" s="472"/>
      <c r="Z28" s="549"/>
      <c r="AA28" s="549"/>
      <c r="AB28" s="508"/>
      <c r="AC28" s="114"/>
    </row>
    <row r="29" spans="1:29">
      <c r="A29" s="45">
        <v>2013</v>
      </c>
      <c r="B29" s="180">
        <v>557.92508330447913</v>
      </c>
      <c r="C29" s="180">
        <v>508.5175238657676</v>
      </c>
      <c r="D29" s="180">
        <v>340.86702405386484</v>
      </c>
      <c r="E29" s="180">
        <v>330.11106225365205</v>
      </c>
      <c r="F29" s="180">
        <v>295.76611055650386</v>
      </c>
      <c r="G29" s="180">
        <v>440.89345360960425</v>
      </c>
      <c r="H29" s="180">
        <v>320.29176094403186</v>
      </c>
      <c r="I29" s="180">
        <v>220.04963320796452</v>
      </c>
      <c r="J29" s="786"/>
      <c r="K29" s="786"/>
      <c r="L29" s="786"/>
      <c r="M29" s="786"/>
      <c r="N29" s="786"/>
      <c r="O29" s="786"/>
      <c r="P29" s="786"/>
      <c r="Q29" s="786"/>
      <c r="R29" s="472"/>
      <c r="S29" s="472"/>
      <c r="T29" s="472"/>
      <c r="U29" s="472"/>
      <c r="V29" s="472"/>
      <c r="W29" s="472"/>
      <c r="X29" s="472"/>
      <c r="Y29" s="472"/>
      <c r="Z29" s="549"/>
      <c r="AA29" s="549"/>
      <c r="AB29" s="508"/>
      <c r="AC29" s="114"/>
    </row>
    <row r="30" spans="1:29">
      <c r="A30" s="45">
        <v>2014</v>
      </c>
      <c r="B30" s="180">
        <v>577.99620392705185</v>
      </c>
      <c r="C30" s="180">
        <v>516.53669026369857</v>
      </c>
      <c r="D30" s="180">
        <v>327.19544836891782</v>
      </c>
      <c r="E30" s="180">
        <v>312.61915584070766</v>
      </c>
      <c r="F30" s="180">
        <v>281.1341678679712</v>
      </c>
      <c r="G30" s="180">
        <v>442.10544887996338</v>
      </c>
      <c r="H30" s="180">
        <v>307.30457167193038</v>
      </c>
      <c r="I30" s="180">
        <v>208.9329182904215</v>
      </c>
      <c r="J30" s="786"/>
      <c r="K30" s="786"/>
      <c r="L30" s="786"/>
      <c r="M30" s="786"/>
      <c r="N30" s="786"/>
      <c r="O30" s="786"/>
      <c r="P30" s="786"/>
      <c r="Q30" s="786"/>
      <c r="R30" s="472"/>
      <c r="S30" s="472"/>
      <c r="T30" s="472"/>
      <c r="U30" s="472"/>
      <c r="V30" s="472"/>
      <c r="W30" s="472"/>
      <c r="X30" s="472"/>
      <c r="Y30" s="472"/>
      <c r="Z30" s="549"/>
      <c r="AA30" s="549"/>
      <c r="AB30" s="508"/>
      <c r="AC30" s="114"/>
    </row>
    <row r="31" spans="1:29">
      <c r="A31" s="45">
        <v>2015</v>
      </c>
      <c r="B31" s="180">
        <v>547.60646240535948</v>
      </c>
      <c r="C31" s="180">
        <v>492.30303813442424</v>
      </c>
      <c r="D31" s="180">
        <v>335.80007054950579</v>
      </c>
      <c r="E31" s="180">
        <v>318.15129188032125</v>
      </c>
      <c r="F31" s="180">
        <v>286.65573105805151</v>
      </c>
      <c r="G31" s="180">
        <v>428.49100729169231</v>
      </c>
      <c r="H31" s="180">
        <v>315.96173962625386</v>
      </c>
      <c r="I31" s="180">
        <v>221.71974237808936</v>
      </c>
      <c r="J31" s="786"/>
      <c r="K31" s="786"/>
      <c r="L31" s="786"/>
      <c r="M31" s="786"/>
      <c r="N31" s="786"/>
      <c r="O31" s="786"/>
      <c r="P31" s="786"/>
      <c r="Q31" s="786"/>
      <c r="R31" s="472"/>
      <c r="S31" s="472"/>
      <c r="T31" s="472"/>
      <c r="U31" s="472"/>
      <c r="V31" s="472"/>
      <c r="W31" s="472"/>
      <c r="X31" s="472"/>
      <c r="Y31" s="472"/>
      <c r="Z31" s="549"/>
      <c r="AA31" s="549"/>
      <c r="AB31" s="508"/>
      <c r="AC31" s="114"/>
    </row>
    <row r="32" spans="1:29">
      <c r="A32" s="45">
        <v>2016</v>
      </c>
      <c r="B32" s="180">
        <v>521.69420556750106</v>
      </c>
      <c r="C32" s="180">
        <v>470.66104108873679</v>
      </c>
      <c r="D32" s="180">
        <v>325.98029179355058</v>
      </c>
      <c r="E32" s="180">
        <v>317.63427507602239</v>
      </c>
      <c r="F32" s="180">
        <v>287.57260150805297</v>
      </c>
      <c r="G32" s="180">
        <v>412.74902528199857</v>
      </c>
      <c r="H32" s="180">
        <v>308.06424190877243</v>
      </c>
      <c r="I32" s="180">
        <v>223.55721578400576</v>
      </c>
      <c r="J32" s="786"/>
      <c r="K32" s="786"/>
      <c r="L32" s="786"/>
      <c r="M32" s="786"/>
      <c r="N32" s="786"/>
      <c r="O32" s="786"/>
      <c r="P32" s="786"/>
      <c r="Q32" s="786"/>
      <c r="R32" s="472"/>
      <c r="S32" s="472"/>
      <c r="T32" s="472"/>
      <c r="U32" s="472"/>
      <c r="V32" s="472"/>
      <c r="W32" s="472"/>
      <c r="X32" s="472"/>
      <c r="Y32" s="472"/>
      <c r="Z32" s="549"/>
      <c r="AA32" s="549"/>
      <c r="AB32" s="508"/>
      <c r="AC32" s="114"/>
    </row>
    <row r="33" spans="1:36">
      <c r="A33" s="45">
        <v>2017</v>
      </c>
      <c r="B33" s="180">
        <v>496.11836645096122</v>
      </c>
      <c r="C33" s="180">
        <v>450.18648326345703</v>
      </c>
      <c r="D33" s="180">
        <v>320.76804897053978</v>
      </c>
      <c r="E33" s="180">
        <v>312.39874110051488</v>
      </c>
      <c r="F33" s="180">
        <v>282.98149118431195</v>
      </c>
      <c r="G33" s="180">
        <v>397.94799329025841</v>
      </c>
      <c r="H33" s="180">
        <v>303.22560580227633</v>
      </c>
      <c r="I33" s="180">
        <v>218.78581584324419</v>
      </c>
      <c r="J33" s="786"/>
      <c r="K33" s="786"/>
      <c r="L33" s="786"/>
      <c r="M33" s="786"/>
      <c r="N33" s="786"/>
      <c r="O33" s="786"/>
      <c r="P33" s="786"/>
      <c r="Q33" s="786"/>
      <c r="R33" s="472"/>
      <c r="S33" s="472"/>
      <c r="T33" s="472"/>
      <c r="U33" s="472"/>
      <c r="V33" s="472"/>
      <c r="W33" s="472"/>
      <c r="X33" s="472"/>
      <c r="Y33" s="472"/>
      <c r="Z33" s="549"/>
      <c r="AA33" s="549"/>
      <c r="AB33" s="508"/>
      <c r="AC33" s="114"/>
    </row>
    <row r="34" spans="1:36">
      <c r="A34" s="45">
        <v>2018</v>
      </c>
      <c r="B34" s="180">
        <v>499.26106708855639</v>
      </c>
      <c r="C34" s="180">
        <v>449.51733448035259</v>
      </c>
      <c r="D34" s="180">
        <v>300.8258447874249</v>
      </c>
      <c r="E34" s="180">
        <v>285.50826902086607</v>
      </c>
      <c r="F34" s="180">
        <v>259.74118310862605</v>
      </c>
      <c r="G34" s="180">
        <v>393.73491742102783</v>
      </c>
      <c r="H34" s="180">
        <v>285.83333563138297</v>
      </c>
      <c r="I34" s="180">
        <v>213.41403756840973</v>
      </c>
      <c r="J34" s="786"/>
      <c r="K34" s="786"/>
      <c r="L34" s="786"/>
      <c r="M34" s="786"/>
      <c r="N34" s="786"/>
      <c r="O34" s="786"/>
      <c r="P34" s="786"/>
      <c r="Q34" s="786"/>
      <c r="R34" s="472"/>
      <c r="S34" s="472"/>
      <c r="T34" s="472"/>
      <c r="U34" s="472"/>
      <c r="V34" s="472"/>
      <c r="W34" s="472"/>
      <c r="X34" s="472"/>
      <c r="Y34" s="472"/>
      <c r="Z34" s="549"/>
      <c r="AA34" s="549"/>
      <c r="AB34" s="508"/>
      <c r="AC34" s="114"/>
    </row>
    <row r="35" spans="1:36">
      <c r="A35" s="45">
        <v>2019</v>
      </c>
      <c r="B35" s="180">
        <v>467.27586408808406</v>
      </c>
      <c r="C35" s="180">
        <v>420.57379487934037</v>
      </c>
      <c r="D35" s="180">
        <v>281.9021120402586</v>
      </c>
      <c r="E35" s="180">
        <v>272.76178671426311</v>
      </c>
      <c r="F35" s="180">
        <v>248.26211885322749</v>
      </c>
      <c r="G35" s="180">
        <v>372.51685417387898</v>
      </c>
      <c r="H35" s="180">
        <v>270.69681755201674</v>
      </c>
      <c r="I35" s="180">
        <v>216.38342470700456</v>
      </c>
      <c r="J35" s="786"/>
      <c r="K35" s="786"/>
      <c r="L35" s="786"/>
      <c r="M35" s="786"/>
      <c r="N35" s="786"/>
      <c r="O35" s="786"/>
      <c r="P35" s="786"/>
      <c r="Q35" s="786"/>
      <c r="R35" s="472"/>
      <c r="S35" s="472"/>
      <c r="T35" s="472"/>
      <c r="U35" s="472"/>
      <c r="V35" s="472"/>
      <c r="W35" s="472"/>
      <c r="X35" s="472"/>
      <c r="Y35" s="472"/>
      <c r="Z35" s="549"/>
      <c r="AA35" s="549"/>
      <c r="AB35" s="508"/>
      <c r="AC35" s="114"/>
    </row>
    <row r="36" spans="1:36">
      <c r="A36" s="45">
        <v>2020</v>
      </c>
      <c r="B36" s="180">
        <v>454.39897196236006</v>
      </c>
      <c r="C36" s="180">
        <v>405.19183200859817</v>
      </c>
      <c r="D36" s="180">
        <v>263.70148073625455</v>
      </c>
      <c r="E36" s="180">
        <v>258.84494133941354</v>
      </c>
      <c r="F36" s="180">
        <v>235.50810306097284</v>
      </c>
      <c r="G36" s="180">
        <v>358.32548658719531</v>
      </c>
      <c r="H36" s="180">
        <v>255.15960876547709</v>
      </c>
      <c r="I36" s="180">
        <v>215.02901581967762</v>
      </c>
      <c r="J36" s="786"/>
      <c r="K36" s="786"/>
      <c r="L36" s="786"/>
      <c r="M36" s="786"/>
      <c r="N36" s="786"/>
      <c r="O36" s="786"/>
      <c r="P36" s="786"/>
      <c r="Q36" s="786"/>
      <c r="R36" s="472"/>
      <c r="S36" s="472"/>
      <c r="T36" s="472"/>
      <c r="U36" s="472"/>
      <c r="V36" s="472"/>
      <c r="W36" s="472"/>
      <c r="X36" s="472"/>
      <c r="Y36" s="472"/>
      <c r="Z36" s="549"/>
      <c r="AA36" s="549"/>
      <c r="AB36" s="508"/>
      <c r="AC36" s="114"/>
    </row>
    <row r="37" spans="1:36">
      <c r="A37" s="45">
        <v>2021</v>
      </c>
      <c r="B37" s="180">
        <v>456.77358441137125</v>
      </c>
      <c r="C37" s="180">
        <v>410.85624873584749</v>
      </c>
      <c r="D37" s="180">
        <v>271.60144209981274</v>
      </c>
      <c r="E37" s="180">
        <v>259.04730315395756</v>
      </c>
      <c r="F37" s="180">
        <v>235.27420051706602</v>
      </c>
      <c r="G37" s="180">
        <v>364.88726585625517</v>
      </c>
      <c r="H37" s="180">
        <v>261.91078050561134</v>
      </c>
      <c r="I37" s="180">
        <v>213.69716255866098</v>
      </c>
      <c r="J37" s="786"/>
      <c r="K37" s="786"/>
      <c r="L37" s="786"/>
      <c r="M37" s="786"/>
      <c r="N37" s="786"/>
      <c r="O37" s="786"/>
      <c r="P37" s="786"/>
      <c r="Q37" s="786"/>
      <c r="R37" s="472"/>
      <c r="S37" s="472"/>
      <c r="T37" s="472"/>
      <c r="U37" s="472"/>
      <c r="V37" s="472"/>
      <c r="W37" s="472"/>
      <c r="X37" s="472"/>
      <c r="Y37" s="472"/>
      <c r="Z37" s="549"/>
      <c r="AA37" s="549"/>
      <c r="AB37" s="508"/>
      <c r="AC37" s="114"/>
    </row>
    <row r="38" spans="1:36">
      <c r="A38" s="45">
        <v>2022</v>
      </c>
      <c r="B38" s="180">
        <v>477.35559320927973</v>
      </c>
      <c r="C38" s="180">
        <v>435.14555352238449</v>
      </c>
      <c r="D38" s="180">
        <v>307.33287136375128</v>
      </c>
      <c r="E38" s="180">
        <v>293.00455999029657</v>
      </c>
      <c r="F38" s="180">
        <v>265.39460177643736</v>
      </c>
      <c r="G38" s="180">
        <v>388.34291497714861</v>
      </c>
      <c r="H38" s="180">
        <v>293.36212709853498</v>
      </c>
      <c r="I38" s="180">
        <v>223.83298812799214</v>
      </c>
      <c r="J38" s="786"/>
      <c r="K38" s="786"/>
      <c r="L38" s="786"/>
      <c r="M38" s="786"/>
      <c r="N38" s="786"/>
      <c r="O38" s="786"/>
      <c r="P38" s="786"/>
      <c r="Q38" s="786"/>
      <c r="R38" s="472"/>
      <c r="S38" s="472"/>
      <c r="T38" s="472"/>
      <c r="U38" s="472"/>
      <c r="V38" s="472"/>
      <c r="W38" s="472"/>
      <c r="X38" s="472"/>
      <c r="Y38" s="472"/>
      <c r="Z38" s="549"/>
      <c r="AA38" s="549"/>
      <c r="AB38" s="114"/>
      <c r="AC38" s="114"/>
    </row>
    <row r="39" spans="1:36">
      <c r="A39" s="45">
        <v>2023</v>
      </c>
      <c r="B39" s="180">
        <v>460.20734040195129</v>
      </c>
      <c r="C39" s="180">
        <v>414.8695322013341</v>
      </c>
      <c r="D39" s="180">
        <v>256.32906912354491</v>
      </c>
      <c r="E39" s="180">
        <v>234.72246427914064</v>
      </c>
      <c r="F39" s="180">
        <v>213.34298419420327</v>
      </c>
      <c r="G39" s="180">
        <v>369.64350855630801</v>
      </c>
      <c r="H39" s="180">
        <v>251.2680045586894</v>
      </c>
      <c r="I39" s="180">
        <v>225.08563822936955</v>
      </c>
      <c r="J39" s="786"/>
      <c r="K39" s="786"/>
      <c r="L39" s="786"/>
      <c r="M39" s="786"/>
      <c r="N39" s="786"/>
      <c r="O39" s="786"/>
      <c r="P39" s="786"/>
      <c r="Q39" s="786"/>
      <c r="R39" s="472"/>
      <c r="S39" s="472"/>
      <c r="T39" s="472"/>
      <c r="U39" s="472"/>
      <c r="V39" s="472"/>
      <c r="W39" s="472"/>
      <c r="X39" s="472"/>
      <c r="Y39" s="472"/>
      <c r="Z39" s="549"/>
      <c r="AA39" s="549"/>
      <c r="AB39" s="114"/>
      <c r="AC39" s="114"/>
    </row>
    <row r="40" spans="1:36" ht="16.2">
      <c r="A40" s="785" t="s">
        <v>597</v>
      </c>
      <c r="B40" s="822">
        <v>422.3516112838912</v>
      </c>
      <c r="C40" s="822">
        <v>382.24475644011648</v>
      </c>
      <c r="D40" s="822">
        <v>215.91253169184253</v>
      </c>
      <c r="E40" s="822">
        <v>198.93896396123793</v>
      </c>
      <c r="F40" s="822">
        <v>180.64582700698753</v>
      </c>
      <c r="G40" s="822">
        <v>344.19540789317472</v>
      </c>
      <c r="H40" s="822">
        <v>217.69508733083356</v>
      </c>
      <c r="I40" s="822">
        <v>227.38337731013135</v>
      </c>
      <c r="J40" s="12"/>
      <c r="L40" s="508"/>
      <c r="M40" s="472"/>
      <c r="N40" s="472"/>
      <c r="O40" s="473"/>
      <c r="P40" s="472"/>
      <c r="Q40" s="114"/>
      <c r="R40" s="472"/>
      <c r="S40" s="472"/>
      <c r="T40" s="472"/>
      <c r="U40" s="472"/>
      <c r="V40" s="472"/>
      <c r="W40" s="472"/>
      <c r="X40" s="472"/>
      <c r="Y40" s="472"/>
      <c r="Z40" s="549"/>
      <c r="AA40" s="549"/>
      <c r="AB40" s="114"/>
      <c r="AC40" s="114"/>
    </row>
    <row r="41" spans="1:36" ht="18.600000000000001">
      <c r="A41" s="46" t="s">
        <v>173</v>
      </c>
      <c r="F41" s="12"/>
      <c r="J41" s="12"/>
      <c r="L41" s="508"/>
      <c r="M41" s="472"/>
      <c r="N41" s="472"/>
      <c r="O41" s="472"/>
      <c r="P41" s="472"/>
      <c r="Q41" s="114"/>
      <c r="R41" s="472"/>
      <c r="S41" s="473"/>
      <c r="U41" s="114"/>
      <c r="V41" s="114"/>
      <c r="W41" s="114"/>
      <c r="X41" s="114"/>
      <c r="Y41" s="114"/>
      <c r="Z41" s="114"/>
      <c r="AA41" s="114"/>
      <c r="AB41" s="114"/>
      <c r="AC41" s="114"/>
    </row>
    <row r="42" spans="1:36" ht="18.600000000000001">
      <c r="A42" s="46" t="s">
        <v>641</v>
      </c>
      <c r="J42" s="12"/>
      <c r="L42" s="508"/>
      <c r="M42" s="472"/>
      <c r="N42" s="472"/>
      <c r="O42" s="472"/>
      <c r="P42" s="472"/>
      <c r="Q42" s="114"/>
      <c r="R42" s="472"/>
      <c r="S42" s="473"/>
      <c r="U42" s="114"/>
      <c r="V42" s="114"/>
      <c r="W42" s="114"/>
      <c r="X42" s="114"/>
      <c r="Y42" s="114"/>
      <c r="Z42" s="114"/>
      <c r="AA42" s="114"/>
      <c r="AB42" s="114"/>
      <c r="AC42" s="114"/>
    </row>
    <row r="43" spans="1:36" ht="18.600000000000001">
      <c r="A43" s="46" t="s">
        <v>608</v>
      </c>
      <c r="B43" s="101"/>
      <c r="J43" s="12"/>
      <c r="L43" s="508"/>
      <c r="M43" s="472"/>
      <c r="N43" s="472"/>
      <c r="O43" s="472"/>
      <c r="P43" s="472"/>
      <c r="Q43" s="114"/>
      <c r="R43" s="472"/>
      <c r="S43" s="473"/>
      <c r="U43" s="114"/>
      <c r="V43" s="114"/>
      <c r="W43" s="114"/>
      <c r="X43" s="114"/>
      <c r="Y43" s="114"/>
      <c r="Z43" s="114"/>
      <c r="AA43" s="114"/>
      <c r="AB43" s="114"/>
      <c r="AC43" s="114"/>
    </row>
    <row r="44" spans="1:36" ht="18.600000000000001">
      <c r="A44" s="46" t="s">
        <v>609</v>
      </c>
      <c r="J44" s="12"/>
      <c r="Q44" s="114"/>
      <c r="U44" s="114"/>
      <c r="V44" s="114"/>
      <c r="W44" s="114"/>
      <c r="X44" s="114"/>
    </row>
    <row r="45" spans="1:36" ht="18.600000000000001">
      <c r="A45" s="46" t="s">
        <v>610</v>
      </c>
      <c r="C45" s="429"/>
      <c r="D45" s="429"/>
      <c r="E45" s="429"/>
      <c r="G45" s="429"/>
      <c r="H45" s="429"/>
      <c r="I45" s="429"/>
      <c r="J45" s="12"/>
      <c r="Q45" s="114"/>
      <c r="U45" s="114"/>
      <c r="V45" s="114"/>
      <c r="W45" s="114"/>
      <c r="X45" s="114"/>
    </row>
    <row r="46" spans="1:36">
      <c r="A46" s="12" t="s">
        <v>655</v>
      </c>
      <c r="C46" s="472"/>
      <c r="D46" s="472"/>
      <c r="E46" s="472"/>
      <c r="G46" s="472"/>
      <c r="H46" s="472"/>
      <c r="I46" s="472"/>
      <c r="J46" s="12"/>
      <c r="Q46" s="114"/>
      <c r="U46" s="114"/>
      <c r="V46" s="114"/>
      <c r="W46" s="114"/>
      <c r="X46" s="114"/>
    </row>
    <row r="47" spans="1:36">
      <c r="F47" s="12"/>
      <c r="Q47" s="114"/>
      <c r="U47" s="114"/>
      <c r="V47" s="114"/>
      <c r="W47" s="114"/>
      <c r="X47" s="114"/>
    </row>
    <row r="48" spans="1:36">
      <c r="F48" s="12"/>
      <c r="K48" s="177"/>
      <c r="L48" s="182"/>
      <c r="M48" s="182"/>
      <c r="N48" s="182"/>
      <c r="O48" s="182"/>
      <c r="P48" s="182"/>
      <c r="Q48" s="182"/>
      <c r="R48" s="182"/>
      <c r="S48" s="182"/>
      <c r="T48" s="177"/>
      <c r="U48" s="182"/>
      <c r="V48" s="182"/>
      <c r="W48" s="182"/>
      <c r="X48" s="182"/>
      <c r="Y48" s="182"/>
      <c r="Z48" s="182"/>
      <c r="AA48" s="182"/>
      <c r="AB48" s="182"/>
      <c r="AC48" s="182"/>
      <c r="AD48" s="182"/>
      <c r="AE48" s="182"/>
      <c r="AF48" s="182"/>
      <c r="AG48" s="182"/>
      <c r="AH48" s="182"/>
      <c r="AI48" s="182"/>
      <c r="AJ48" s="182"/>
    </row>
    <row r="49" spans="2:36">
      <c r="F49" s="12"/>
      <c r="K49" s="177"/>
      <c r="L49" s="182"/>
      <c r="M49" s="182"/>
      <c r="N49" s="182"/>
      <c r="O49" s="182"/>
      <c r="P49" s="182"/>
      <c r="Q49" s="182"/>
      <c r="R49" s="182"/>
      <c r="S49" s="182"/>
      <c r="T49" s="177"/>
      <c r="U49" s="182"/>
      <c r="V49" s="182"/>
      <c r="W49" s="182"/>
      <c r="X49" s="182"/>
      <c r="Y49" s="182"/>
      <c r="Z49" s="182"/>
      <c r="AA49" s="182"/>
      <c r="AB49" s="182"/>
      <c r="AC49" s="182"/>
      <c r="AD49" s="182"/>
      <c r="AE49" s="182"/>
      <c r="AF49" s="182"/>
      <c r="AG49" s="182"/>
      <c r="AH49" s="182"/>
      <c r="AI49" s="182"/>
      <c r="AJ49" s="182"/>
    </row>
    <row r="50" spans="2:36">
      <c r="F50" s="12"/>
      <c r="K50" s="177"/>
      <c r="L50" s="182"/>
      <c r="M50" s="182"/>
      <c r="N50" s="182"/>
      <c r="O50" s="182"/>
      <c r="P50" s="182"/>
      <c r="Q50" s="182"/>
      <c r="R50" s="182"/>
      <c r="S50" s="182"/>
      <c r="T50" s="177"/>
      <c r="U50" s="182"/>
      <c r="V50" s="182"/>
      <c r="W50" s="182"/>
      <c r="X50" s="182"/>
      <c r="Y50" s="182"/>
      <c r="Z50" s="182"/>
      <c r="AA50" s="182"/>
      <c r="AB50" s="182"/>
      <c r="AC50" s="182"/>
      <c r="AD50" s="182"/>
      <c r="AE50" s="182"/>
      <c r="AF50" s="182"/>
      <c r="AG50" s="182"/>
      <c r="AH50" s="182"/>
      <c r="AI50" s="182"/>
      <c r="AJ50" s="182"/>
    </row>
    <row r="51" spans="2:36">
      <c r="F51" s="12"/>
      <c r="K51" s="177"/>
      <c r="L51" s="182"/>
      <c r="M51" s="182"/>
      <c r="N51" s="182"/>
      <c r="O51" s="182"/>
      <c r="P51" s="182"/>
      <c r="Q51" s="182"/>
      <c r="R51" s="182"/>
      <c r="S51" s="182"/>
      <c r="T51" s="177"/>
      <c r="U51" s="182"/>
      <c r="V51" s="182"/>
      <c r="W51" s="182"/>
      <c r="X51" s="182"/>
      <c r="Y51" s="182"/>
      <c r="Z51" s="182"/>
      <c r="AA51" s="182"/>
      <c r="AB51" s="182"/>
      <c r="AC51" s="182"/>
      <c r="AD51" s="182"/>
      <c r="AE51" s="182"/>
      <c r="AF51" s="182"/>
      <c r="AG51" s="182"/>
      <c r="AH51" s="182"/>
      <c r="AI51" s="182"/>
      <c r="AJ51" s="182"/>
    </row>
    <row r="52" spans="2:36">
      <c r="F52" s="12"/>
      <c r="K52" s="177"/>
      <c r="L52" s="182"/>
      <c r="M52" s="182"/>
      <c r="N52" s="182"/>
      <c r="O52" s="182"/>
      <c r="P52" s="182"/>
      <c r="Q52" s="182"/>
      <c r="R52" s="182"/>
      <c r="S52" s="182"/>
      <c r="T52" s="177"/>
      <c r="U52" s="182"/>
      <c r="V52" s="182"/>
      <c r="W52" s="182"/>
      <c r="X52" s="182"/>
      <c r="Y52" s="182"/>
      <c r="Z52" s="182"/>
      <c r="AA52" s="182"/>
      <c r="AB52" s="182"/>
      <c r="AC52" s="182"/>
      <c r="AD52" s="182"/>
      <c r="AE52" s="182"/>
      <c r="AF52" s="182"/>
      <c r="AG52" s="182"/>
      <c r="AH52" s="182"/>
      <c r="AI52" s="182"/>
      <c r="AJ52" s="182"/>
    </row>
    <row r="53" spans="2:36">
      <c r="F53" s="12"/>
      <c r="K53" s="177"/>
      <c r="L53" s="182"/>
      <c r="M53" s="182"/>
      <c r="N53" s="182"/>
      <c r="O53" s="182"/>
      <c r="P53" s="182"/>
      <c r="Q53" s="182"/>
      <c r="R53" s="182"/>
      <c r="S53" s="182"/>
      <c r="T53" s="177"/>
      <c r="U53" s="182"/>
      <c r="V53" s="182"/>
      <c r="W53" s="182"/>
      <c r="X53" s="182"/>
      <c r="Y53" s="182"/>
      <c r="Z53" s="182"/>
      <c r="AA53" s="182"/>
      <c r="AB53" s="182"/>
      <c r="AC53" s="182"/>
      <c r="AD53" s="182"/>
      <c r="AE53" s="182"/>
      <c r="AF53" s="182"/>
      <c r="AG53" s="182"/>
      <c r="AH53" s="182"/>
      <c r="AI53" s="182"/>
      <c r="AJ53" s="182"/>
    </row>
    <row r="54" spans="2:36">
      <c r="F54" s="12"/>
      <c r="K54" s="177"/>
      <c r="L54" s="182"/>
      <c r="M54" s="182"/>
      <c r="N54" s="182"/>
      <c r="O54" s="182"/>
      <c r="P54" s="182"/>
      <c r="Q54" s="182"/>
      <c r="R54" s="182"/>
      <c r="S54" s="182"/>
      <c r="T54" s="177"/>
      <c r="U54" s="182"/>
      <c r="V54" s="182"/>
      <c r="W54" s="182"/>
      <c r="X54" s="182"/>
      <c r="Y54" s="182"/>
      <c r="Z54" s="182"/>
      <c r="AA54" s="182"/>
      <c r="AB54" s="182"/>
      <c r="AC54" s="182"/>
      <c r="AD54" s="182"/>
      <c r="AE54" s="182"/>
      <c r="AF54" s="182"/>
      <c r="AG54" s="182"/>
      <c r="AH54" s="182"/>
      <c r="AI54" s="182"/>
      <c r="AJ54" s="182"/>
    </row>
    <row r="55" spans="2:36">
      <c r="F55" s="12"/>
      <c r="K55" s="177"/>
      <c r="L55" s="182"/>
      <c r="M55" s="182"/>
      <c r="N55" s="182"/>
      <c r="O55" s="182"/>
      <c r="P55" s="182"/>
      <c r="Q55" s="182"/>
      <c r="R55" s="182"/>
      <c r="S55" s="182"/>
      <c r="T55" s="177"/>
      <c r="U55" s="182"/>
      <c r="V55" s="182"/>
      <c r="W55" s="182"/>
      <c r="X55" s="182"/>
      <c r="Y55" s="182"/>
      <c r="Z55" s="182"/>
      <c r="AA55" s="182"/>
      <c r="AB55" s="182"/>
      <c r="AC55" s="182"/>
      <c r="AD55" s="182"/>
      <c r="AE55" s="182"/>
      <c r="AF55" s="182"/>
      <c r="AG55" s="182"/>
      <c r="AH55" s="182"/>
      <c r="AI55" s="182"/>
      <c r="AJ55" s="182"/>
    </row>
    <row r="56" spans="2:36">
      <c r="F56" s="12"/>
    </row>
    <row r="57" spans="2:36">
      <c r="B57" s="182"/>
      <c r="C57" s="182"/>
      <c r="D57" s="182"/>
      <c r="E57" s="182"/>
      <c r="F57" s="819"/>
      <c r="G57" s="819"/>
      <c r="H57" s="819"/>
      <c r="I57" s="819"/>
      <c r="J57" s="12"/>
      <c r="K57" s="182"/>
      <c r="L57" s="182"/>
      <c r="M57" s="182"/>
      <c r="N57" s="182"/>
      <c r="O57" s="819"/>
      <c r="P57" s="819"/>
      <c r="Q57" s="819"/>
      <c r="R57" s="819"/>
    </row>
    <row r="58" spans="2:36">
      <c r="B58" s="847"/>
      <c r="C58" s="847"/>
      <c r="D58" s="847"/>
      <c r="E58" s="847"/>
      <c r="F58" s="847"/>
      <c r="G58" s="847"/>
      <c r="H58" s="847"/>
      <c r="I58" s="847"/>
      <c r="J58" s="12"/>
      <c r="K58" s="819"/>
      <c r="L58" s="819"/>
      <c r="M58" s="819"/>
      <c r="N58" s="819"/>
      <c r="O58" s="819"/>
      <c r="P58" s="819"/>
      <c r="Q58" s="819"/>
      <c r="R58" s="819"/>
    </row>
    <row r="59" spans="2:36">
      <c r="B59" s="847"/>
      <c r="C59" s="847"/>
      <c r="D59" s="847"/>
      <c r="E59" s="847"/>
      <c r="F59" s="847"/>
      <c r="G59" s="847"/>
      <c r="H59" s="847"/>
      <c r="I59" s="847"/>
      <c r="J59" s="12"/>
      <c r="K59" s="819"/>
      <c r="L59" s="819"/>
      <c r="M59" s="819"/>
      <c r="N59" s="819"/>
      <c r="O59" s="819"/>
      <c r="P59" s="819"/>
      <c r="Q59" s="819"/>
      <c r="R59" s="819"/>
    </row>
    <row r="60" spans="2:36">
      <c r="B60" s="847"/>
      <c r="C60" s="847"/>
      <c r="D60" s="847"/>
      <c r="E60" s="847"/>
      <c r="F60" s="847"/>
      <c r="G60" s="847"/>
      <c r="H60" s="847"/>
      <c r="I60" s="847"/>
      <c r="J60" s="12"/>
      <c r="K60" s="819"/>
      <c r="L60" s="819"/>
      <c r="M60" s="819"/>
      <c r="N60" s="819"/>
      <c r="O60" s="819"/>
      <c r="P60" s="819"/>
      <c r="Q60" s="819"/>
      <c r="R60" s="819"/>
    </row>
    <row r="61" spans="2:36">
      <c r="B61" s="847"/>
      <c r="C61" s="847"/>
      <c r="D61" s="847"/>
      <c r="E61" s="847"/>
      <c r="F61" s="847"/>
      <c r="G61" s="847"/>
      <c r="H61" s="847"/>
      <c r="I61" s="847"/>
      <c r="J61" s="12"/>
      <c r="K61" s="177"/>
      <c r="L61" s="177"/>
      <c r="M61" s="177"/>
      <c r="N61" s="177"/>
      <c r="O61" s="177"/>
      <c r="P61" s="177"/>
      <c r="Q61" s="177"/>
      <c r="R61" s="177"/>
    </row>
    <row r="62" spans="2:36">
      <c r="B62" s="847"/>
      <c r="C62" s="847"/>
      <c r="D62" s="847"/>
      <c r="E62" s="847"/>
      <c r="F62" s="847"/>
      <c r="G62" s="847"/>
      <c r="H62" s="847"/>
      <c r="I62" s="847"/>
      <c r="J62" s="12"/>
      <c r="K62" s="819"/>
      <c r="L62" s="819"/>
      <c r="M62" s="819"/>
      <c r="N62" s="819"/>
      <c r="O62" s="819"/>
      <c r="P62" s="819"/>
      <c r="Q62" s="819"/>
      <c r="R62" s="819"/>
    </row>
    <row r="63" spans="2:36">
      <c r="B63" s="847"/>
      <c r="C63" s="847"/>
      <c r="D63" s="847"/>
      <c r="E63" s="847"/>
      <c r="F63" s="847"/>
      <c r="G63" s="847"/>
      <c r="H63" s="847"/>
      <c r="I63" s="847"/>
      <c r="J63" s="12"/>
      <c r="K63" s="819"/>
      <c r="L63" s="819"/>
      <c r="M63" s="819"/>
      <c r="N63" s="819"/>
      <c r="O63" s="819"/>
      <c r="P63" s="819"/>
      <c r="Q63" s="819"/>
      <c r="R63" s="819"/>
    </row>
    <row r="64" spans="2:36">
      <c r="B64" s="847"/>
      <c r="C64" s="847"/>
      <c r="D64" s="847"/>
      <c r="E64" s="847"/>
      <c r="F64" s="847"/>
      <c r="G64" s="847"/>
      <c r="H64" s="847"/>
      <c r="I64" s="847"/>
      <c r="J64" s="12"/>
      <c r="K64" s="819"/>
      <c r="L64" s="819"/>
      <c r="M64" s="819"/>
      <c r="N64" s="819"/>
      <c r="O64" s="819"/>
      <c r="P64" s="819"/>
      <c r="Q64" s="819"/>
      <c r="R64" s="819"/>
    </row>
    <row r="65" spans="2:18">
      <c r="B65" s="847"/>
      <c r="C65" s="847"/>
      <c r="D65" s="847"/>
      <c r="E65" s="847"/>
      <c r="F65" s="847"/>
      <c r="G65" s="847"/>
      <c r="H65" s="847"/>
      <c r="I65" s="847"/>
      <c r="K65" s="182"/>
      <c r="L65" s="182"/>
      <c r="M65" s="182"/>
      <c r="N65" s="182"/>
      <c r="O65" s="182"/>
      <c r="P65" s="182"/>
      <c r="Q65" s="182"/>
      <c r="R65" s="182"/>
    </row>
    <row r="66" spans="2:18">
      <c r="B66" s="847"/>
      <c r="C66" s="847"/>
      <c r="D66" s="847"/>
      <c r="E66" s="847"/>
      <c r="F66" s="847"/>
      <c r="G66" s="847"/>
      <c r="H66" s="847"/>
      <c r="I66" s="847"/>
      <c r="K66" s="177"/>
      <c r="L66" s="177"/>
      <c r="M66" s="177"/>
      <c r="N66" s="177"/>
      <c r="O66" s="177"/>
      <c r="P66" s="177"/>
      <c r="Q66" s="177"/>
      <c r="R66" s="177"/>
    </row>
    <row r="67" spans="2:18">
      <c r="B67" s="182"/>
      <c r="C67" s="182"/>
      <c r="D67" s="182"/>
      <c r="E67" s="182"/>
      <c r="F67" s="182"/>
      <c r="G67" s="182"/>
      <c r="H67" s="182"/>
      <c r="I67" s="182"/>
      <c r="K67" s="182"/>
      <c r="L67" s="182"/>
      <c r="M67" s="182"/>
      <c r="N67" s="182"/>
      <c r="O67" s="182"/>
      <c r="P67" s="182"/>
      <c r="Q67" s="182"/>
      <c r="R67" s="182"/>
    </row>
    <row r="68" spans="2:18">
      <c r="B68" s="182"/>
      <c r="C68" s="182"/>
      <c r="D68" s="182"/>
      <c r="E68" s="182"/>
      <c r="F68" s="182"/>
      <c r="G68" s="182"/>
      <c r="H68" s="182"/>
      <c r="I68" s="182"/>
      <c r="K68" s="182"/>
      <c r="L68" s="182"/>
      <c r="M68" s="182"/>
      <c r="N68" s="182"/>
      <c r="O68" s="182"/>
      <c r="P68" s="182"/>
      <c r="Q68" s="182"/>
      <c r="R68" s="182"/>
    </row>
    <row r="69" spans="2:18">
      <c r="B69" s="182"/>
      <c r="C69" s="182"/>
      <c r="D69" s="182"/>
      <c r="E69" s="182"/>
      <c r="F69" s="182"/>
      <c r="G69" s="182"/>
      <c r="H69" s="182"/>
      <c r="I69" s="182"/>
      <c r="K69" s="182"/>
      <c r="L69" s="182"/>
      <c r="M69" s="182"/>
      <c r="N69" s="182"/>
      <c r="O69" s="182"/>
      <c r="P69" s="182"/>
      <c r="Q69" s="182"/>
      <c r="R69" s="182"/>
    </row>
    <row r="70" spans="2:18">
      <c r="B70" s="182"/>
      <c r="C70" s="182"/>
      <c r="D70" s="182"/>
      <c r="E70" s="182"/>
      <c r="F70" s="182"/>
      <c r="G70" s="182"/>
      <c r="H70" s="182"/>
      <c r="I70" s="182"/>
      <c r="K70" s="182"/>
      <c r="L70" s="182"/>
      <c r="M70" s="182"/>
      <c r="N70" s="182"/>
      <c r="O70" s="182"/>
      <c r="P70" s="182"/>
      <c r="Q70" s="182"/>
      <c r="R70" s="182"/>
    </row>
    <row r="71" spans="2:18">
      <c r="B71" s="182"/>
      <c r="C71" s="182"/>
      <c r="D71" s="182"/>
      <c r="E71" s="182"/>
      <c r="F71" s="182"/>
      <c r="G71" s="182"/>
      <c r="H71" s="182"/>
      <c r="I71" s="182"/>
      <c r="K71" s="182"/>
      <c r="L71" s="182"/>
      <c r="M71" s="182"/>
      <c r="N71" s="182"/>
      <c r="O71" s="182"/>
      <c r="P71" s="182"/>
      <c r="Q71" s="182"/>
      <c r="R71" s="182"/>
    </row>
    <row r="72" spans="2:18">
      <c r="B72" s="182"/>
      <c r="C72" s="182"/>
      <c r="D72" s="182"/>
      <c r="E72" s="182"/>
      <c r="F72" s="182"/>
      <c r="G72" s="182"/>
      <c r="H72" s="182"/>
      <c r="I72" s="182"/>
      <c r="K72" s="182"/>
      <c r="L72" s="182"/>
      <c r="M72" s="182"/>
      <c r="N72" s="182"/>
      <c r="O72" s="182"/>
      <c r="P72" s="182"/>
      <c r="Q72" s="182"/>
      <c r="R72" s="182"/>
    </row>
    <row r="73" spans="2:18">
      <c r="B73" s="182"/>
      <c r="C73" s="182"/>
      <c r="D73" s="182"/>
      <c r="E73" s="182"/>
      <c r="F73" s="182"/>
      <c r="G73" s="182"/>
      <c r="H73" s="182"/>
      <c r="I73" s="182"/>
      <c r="K73" s="182"/>
      <c r="L73" s="182"/>
      <c r="M73" s="182"/>
      <c r="N73" s="182"/>
      <c r="O73" s="182"/>
      <c r="P73" s="182"/>
      <c r="Q73" s="182"/>
      <c r="R73" s="182"/>
    </row>
    <row r="74" spans="2:18">
      <c r="B74" s="182"/>
      <c r="C74" s="182"/>
      <c r="D74" s="182"/>
      <c r="E74" s="182"/>
      <c r="F74" s="182"/>
      <c r="G74" s="182"/>
      <c r="H74" s="182"/>
      <c r="I74" s="182"/>
      <c r="K74" s="182"/>
      <c r="L74" s="182"/>
      <c r="M74" s="182"/>
      <c r="N74" s="182"/>
      <c r="O74" s="182"/>
      <c r="P74" s="182"/>
      <c r="Q74" s="182"/>
      <c r="R74" s="182"/>
    </row>
    <row r="75" spans="2:18">
      <c r="B75" s="177"/>
      <c r="C75" s="177"/>
      <c r="D75" s="177"/>
      <c r="E75" s="177"/>
      <c r="F75" s="177"/>
      <c r="G75" s="177"/>
      <c r="H75" s="177"/>
      <c r="I75" s="177"/>
      <c r="K75" s="177"/>
      <c r="L75" s="177"/>
      <c r="M75" s="177"/>
      <c r="N75" s="177"/>
      <c r="O75" s="177"/>
      <c r="P75" s="177"/>
      <c r="Q75" s="177"/>
      <c r="R75" s="177"/>
    </row>
    <row r="76" spans="2:18">
      <c r="B76" s="182"/>
      <c r="C76" s="182"/>
      <c r="D76" s="182"/>
      <c r="E76" s="182"/>
      <c r="F76" s="182"/>
      <c r="G76" s="182"/>
      <c r="H76" s="182"/>
      <c r="I76" s="182"/>
      <c r="K76" s="182"/>
      <c r="L76" s="182"/>
      <c r="M76" s="182"/>
      <c r="N76" s="182"/>
      <c r="O76" s="182"/>
      <c r="P76" s="182"/>
      <c r="Q76" s="182"/>
      <c r="R76" s="182"/>
    </row>
    <row r="77" spans="2:18">
      <c r="B77" s="182"/>
      <c r="C77" s="182"/>
      <c r="D77" s="182"/>
      <c r="E77" s="182"/>
      <c r="F77" s="182"/>
      <c r="G77" s="182"/>
      <c r="H77" s="182"/>
      <c r="I77" s="182"/>
      <c r="K77" s="182"/>
      <c r="L77" s="182"/>
      <c r="M77" s="182"/>
      <c r="N77" s="182"/>
      <c r="O77" s="182"/>
      <c r="P77" s="182"/>
      <c r="Q77" s="182"/>
      <c r="R77" s="182"/>
    </row>
    <row r="78" spans="2:18">
      <c r="B78" s="182"/>
      <c r="C78" s="182"/>
      <c r="D78" s="182"/>
      <c r="E78" s="182"/>
      <c r="F78" s="182"/>
      <c r="G78" s="182"/>
      <c r="H78" s="182"/>
      <c r="I78" s="182"/>
      <c r="K78" s="182"/>
      <c r="L78" s="182"/>
      <c r="M78" s="182"/>
      <c r="N78" s="182"/>
      <c r="O78" s="182"/>
      <c r="P78" s="182"/>
      <c r="Q78" s="182"/>
      <c r="R78" s="182"/>
    </row>
    <row r="79" spans="2:18">
      <c r="B79" s="182"/>
      <c r="C79" s="182"/>
      <c r="D79" s="182"/>
      <c r="E79" s="182"/>
      <c r="F79" s="182"/>
      <c r="G79" s="182"/>
      <c r="H79" s="182"/>
      <c r="I79" s="182"/>
      <c r="K79" s="182"/>
      <c r="L79" s="182"/>
      <c r="M79" s="182"/>
      <c r="N79" s="182"/>
      <c r="O79" s="182"/>
      <c r="P79" s="182"/>
      <c r="Q79" s="182"/>
      <c r="R79" s="182"/>
    </row>
    <row r="80" spans="2:18">
      <c r="B80" s="182"/>
      <c r="C80" s="182"/>
      <c r="D80" s="182"/>
      <c r="E80" s="182"/>
      <c r="F80" s="182"/>
      <c r="G80" s="182"/>
      <c r="H80" s="182"/>
      <c r="I80" s="182"/>
      <c r="K80" s="182"/>
      <c r="L80" s="182"/>
      <c r="M80" s="182"/>
      <c r="N80" s="182"/>
      <c r="O80" s="182"/>
      <c r="P80" s="182"/>
      <c r="Q80" s="182"/>
      <c r="R80" s="182"/>
    </row>
    <row r="81" spans="2:18">
      <c r="B81" s="182"/>
      <c r="C81" s="182"/>
      <c r="D81" s="182"/>
      <c r="E81" s="182"/>
      <c r="F81" s="182"/>
      <c r="G81" s="182"/>
      <c r="H81" s="182"/>
      <c r="I81" s="182"/>
      <c r="K81" s="182"/>
      <c r="L81" s="182"/>
      <c r="M81" s="182"/>
      <c r="N81" s="182"/>
      <c r="O81" s="182"/>
      <c r="P81" s="182"/>
      <c r="Q81" s="182"/>
      <c r="R81" s="182"/>
    </row>
    <row r="82" spans="2:18">
      <c r="B82" s="182"/>
      <c r="C82" s="182"/>
      <c r="D82" s="182"/>
      <c r="E82" s="182"/>
      <c r="F82" s="182"/>
      <c r="G82" s="182"/>
      <c r="H82" s="182"/>
      <c r="I82" s="182"/>
      <c r="K82" s="182"/>
      <c r="L82" s="182"/>
      <c r="M82" s="182"/>
      <c r="N82" s="182"/>
      <c r="O82" s="182"/>
      <c r="P82" s="182"/>
      <c r="Q82" s="182"/>
      <c r="R82" s="182"/>
    </row>
    <row r="83" spans="2:18">
      <c r="B83" s="182"/>
      <c r="C83" s="182"/>
      <c r="D83" s="182"/>
      <c r="E83" s="182"/>
      <c r="F83" s="182"/>
      <c r="G83" s="182"/>
      <c r="H83" s="182"/>
      <c r="I83" s="182"/>
      <c r="K83" s="182"/>
      <c r="L83" s="182"/>
      <c r="M83" s="182"/>
      <c r="N83" s="182"/>
      <c r="O83" s="182"/>
      <c r="P83" s="182"/>
      <c r="Q83" s="182"/>
      <c r="R83" s="182"/>
    </row>
    <row r="84" spans="2:18">
      <c r="B84" s="182"/>
      <c r="C84" s="182"/>
      <c r="D84" s="182"/>
      <c r="E84" s="182"/>
      <c r="F84" s="182"/>
      <c r="G84" s="182"/>
      <c r="H84" s="182"/>
      <c r="I84" s="182"/>
      <c r="K84" s="182"/>
      <c r="L84" s="182"/>
      <c r="M84" s="182"/>
      <c r="N84" s="182"/>
      <c r="O84" s="182"/>
      <c r="P84" s="182"/>
      <c r="Q84" s="182"/>
      <c r="R84" s="182"/>
    </row>
    <row r="85" spans="2:18">
      <c r="B85" s="182"/>
      <c r="C85" s="182"/>
      <c r="D85" s="182"/>
      <c r="E85" s="182"/>
      <c r="F85" s="182"/>
      <c r="G85" s="182"/>
      <c r="H85" s="182"/>
      <c r="I85" s="182"/>
      <c r="K85" s="182"/>
      <c r="L85" s="182"/>
      <c r="M85" s="182"/>
      <c r="N85" s="182"/>
      <c r="O85" s="182"/>
      <c r="P85" s="182"/>
      <c r="Q85" s="182"/>
      <c r="R85" s="182"/>
    </row>
    <row r="86" spans="2:18">
      <c r="B86" s="182"/>
      <c r="C86" s="182"/>
      <c r="D86" s="182"/>
      <c r="E86" s="182"/>
      <c r="F86" s="182"/>
      <c r="G86" s="182"/>
      <c r="H86" s="182"/>
      <c r="I86" s="182"/>
      <c r="K86" s="182"/>
      <c r="L86" s="182"/>
      <c r="M86" s="182"/>
      <c r="N86" s="182"/>
      <c r="O86" s="182"/>
      <c r="P86" s="182"/>
      <c r="Q86" s="182"/>
      <c r="R86" s="182"/>
    </row>
    <row r="87" spans="2:18">
      <c r="B87" s="182"/>
      <c r="C87" s="182"/>
      <c r="D87" s="182"/>
      <c r="E87" s="182"/>
      <c r="F87" s="182"/>
      <c r="G87" s="182"/>
      <c r="H87" s="182"/>
      <c r="I87" s="182"/>
      <c r="K87" s="182"/>
      <c r="L87" s="182"/>
      <c r="M87" s="182"/>
      <c r="N87" s="182"/>
      <c r="O87" s="182"/>
      <c r="P87" s="182"/>
      <c r="Q87" s="182"/>
      <c r="R87" s="182"/>
    </row>
    <row r="88" spans="2:18">
      <c r="B88" s="182"/>
      <c r="C88" s="182"/>
      <c r="D88" s="182"/>
      <c r="E88" s="182"/>
      <c r="F88" s="182"/>
      <c r="G88" s="182"/>
      <c r="H88" s="182"/>
      <c r="I88" s="182"/>
      <c r="K88" s="182"/>
      <c r="L88" s="182"/>
      <c r="M88" s="182"/>
      <c r="N88" s="182"/>
      <c r="O88" s="182"/>
      <c r="P88" s="182"/>
      <c r="Q88" s="182"/>
      <c r="R88" s="182"/>
    </row>
    <row r="89" spans="2:18">
      <c r="B89" s="182"/>
      <c r="C89" s="182"/>
      <c r="D89" s="182"/>
      <c r="E89" s="182"/>
      <c r="F89" s="182"/>
      <c r="G89" s="182"/>
      <c r="H89" s="182"/>
      <c r="I89" s="182"/>
      <c r="K89" s="182"/>
      <c r="L89" s="182"/>
      <c r="M89" s="182"/>
      <c r="N89" s="182"/>
      <c r="O89" s="182"/>
      <c r="P89" s="182"/>
      <c r="Q89" s="182"/>
      <c r="R89" s="182"/>
    </row>
    <row r="90" spans="2:18">
      <c r="B90" s="182"/>
      <c r="C90" s="182"/>
      <c r="D90" s="182"/>
      <c r="E90" s="182"/>
      <c r="F90" s="182"/>
      <c r="G90" s="182"/>
      <c r="H90" s="182"/>
      <c r="I90" s="182"/>
      <c r="K90" s="182"/>
      <c r="L90" s="182"/>
      <c r="M90" s="182"/>
      <c r="N90" s="182"/>
      <c r="O90" s="182"/>
      <c r="P90" s="182"/>
      <c r="Q90" s="182"/>
      <c r="R90" s="182"/>
    </row>
    <row r="91" spans="2:18">
      <c r="B91" s="182"/>
      <c r="C91" s="182"/>
      <c r="D91" s="182"/>
      <c r="E91" s="182"/>
      <c r="F91" s="182"/>
      <c r="G91" s="182"/>
      <c r="H91" s="182"/>
      <c r="I91" s="182"/>
      <c r="K91" s="182"/>
      <c r="L91" s="182"/>
      <c r="M91" s="182"/>
      <c r="N91" s="182"/>
      <c r="O91" s="182"/>
      <c r="P91" s="182"/>
      <c r="Q91" s="182"/>
      <c r="R91" s="182"/>
    </row>
  </sheetData>
  <sortState xmlns:xlrd2="http://schemas.microsoft.com/office/spreadsheetml/2017/richdata2" ref="A27:I28">
    <sortCondition ref="A27"/>
  </sortState>
  <mergeCells count="2">
    <mergeCell ref="A4:A5"/>
    <mergeCell ref="B5:I5"/>
  </mergeCells>
  <hyperlinks>
    <hyperlink ref="A1" location="Indice!A1" display="Torna indietro" xr:uid="{00000000-0004-0000-0F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9"/>
  <dimension ref="A1:K22"/>
  <sheetViews>
    <sheetView showGridLines="0" workbookViewId="0">
      <selection activeCell="O30" sqref="O30"/>
    </sheetView>
  </sheetViews>
  <sheetFormatPr defaultRowHeight="14.4"/>
  <sheetData>
    <row r="1" spans="1:2" ht="15.6">
      <c r="A1" s="608" t="s">
        <v>57</v>
      </c>
      <c r="B1" s="608"/>
    </row>
    <row r="22" spans="1:11" ht="103.5" customHeight="1">
      <c r="A22" s="891" t="s">
        <v>628</v>
      </c>
      <c r="B22" s="891"/>
      <c r="C22" s="891"/>
      <c r="D22" s="891"/>
      <c r="E22" s="891"/>
      <c r="F22" s="891"/>
      <c r="G22" s="891"/>
      <c r="H22" s="891"/>
      <c r="I22" s="891"/>
      <c r="J22" s="891"/>
      <c r="K22" s="891"/>
    </row>
  </sheetData>
  <mergeCells count="1">
    <mergeCell ref="A22:K22"/>
  </mergeCells>
  <hyperlinks>
    <hyperlink ref="A1" location="Indice!A1" display="Torna indietro" xr:uid="{00000000-0004-0000-10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20"/>
  <dimension ref="A1:T51"/>
  <sheetViews>
    <sheetView showGridLines="0" zoomScaleNormal="100" workbookViewId="0">
      <pane ySplit="4" topLeftCell="A26" activePane="bottomLeft" state="frozen"/>
      <selection activeCell="O30" sqref="O30"/>
      <selection pane="bottomLeft" activeCell="O30" sqref="O30"/>
    </sheetView>
  </sheetViews>
  <sheetFormatPr defaultRowHeight="14.4"/>
  <cols>
    <col min="1" max="1" width="47.5546875" customWidth="1"/>
    <col min="3" max="6" width="0.33203125" customWidth="1"/>
    <col min="8" max="11" width="0.33203125" customWidth="1"/>
  </cols>
  <sheetData>
    <row r="1" spans="1:20" ht="15.6">
      <c r="A1" s="608" t="s">
        <v>57</v>
      </c>
      <c r="B1" s="608"/>
      <c r="C1" s="113"/>
    </row>
    <row r="2" spans="1:20" ht="15.6">
      <c r="A2" s="47" t="s">
        <v>84</v>
      </c>
    </row>
    <row r="3" spans="1:20" ht="15.6">
      <c r="A3" s="892" t="s">
        <v>58</v>
      </c>
      <c r="B3" s="789" t="s">
        <v>85</v>
      </c>
      <c r="C3" s="790"/>
      <c r="D3" s="790"/>
      <c r="E3" s="790"/>
      <c r="F3" s="790"/>
      <c r="G3" s="790"/>
      <c r="H3" s="790"/>
      <c r="I3" s="790"/>
      <c r="J3" s="790"/>
      <c r="K3" s="790"/>
      <c r="L3" s="790"/>
      <c r="M3" s="790"/>
      <c r="N3" s="790"/>
      <c r="O3" s="790"/>
      <c r="P3" s="790"/>
      <c r="Q3" s="790"/>
      <c r="R3" s="790"/>
      <c r="S3" s="791"/>
      <c r="T3" s="792"/>
    </row>
    <row r="4" spans="1:20">
      <c r="A4" s="893"/>
      <c r="B4" s="561">
        <v>2005</v>
      </c>
      <c r="C4" s="561">
        <v>2006</v>
      </c>
      <c r="D4" s="561">
        <v>2007</v>
      </c>
      <c r="E4" s="561">
        <v>2008</v>
      </c>
      <c r="F4" s="561">
        <v>2009</v>
      </c>
      <c r="G4" s="561">
        <v>2010</v>
      </c>
      <c r="H4" s="561">
        <v>2011</v>
      </c>
      <c r="I4" s="561">
        <v>2012</v>
      </c>
      <c r="J4" s="561">
        <v>2013</v>
      </c>
      <c r="K4" s="561">
        <v>2014</v>
      </c>
      <c r="L4" s="561">
        <v>2015</v>
      </c>
      <c r="M4" s="561">
        <v>2016</v>
      </c>
      <c r="N4" s="561">
        <v>2017</v>
      </c>
      <c r="O4" s="561">
        <v>2018</v>
      </c>
      <c r="P4" s="561">
        <v>2019</v>
      </c>
      <c r="Q4" s="561">
        <v>2020</v>
      </c>
      <c r="R4" s="561">
        <v>2021</v>
      </c>
      <c r="S4" s="561">
        <v>2022</v>
      </c>
      <c r="T4" s="561">
        <v>2023</v>
      </c>
    </row>
    <row r="5" spans="1:20">
      <c r="A5" s="50" t="s">
        <v>59</v>
      </c>
      <c r="B5" s="51">
        <v>919.86301040038472</v>
      </c>
      <c r="C5" s="51">
        <v>898.57581152819716</v>
      </c>
      <c r="D5" s="51">
        <v>922.14202018328285</v>
      </c>
      <c r="E5" s="51">
        <v>934.78721528610481</v>
      </c>
      <c r="F5" s="51">
        <v>910.84520965267347</v>
      </c>
      <c r="G5" s="51">
        <v>889.01299148314058</v>
      </c>
      <c r="H5" s="51">
        <v>872.58147342777056</v>
      </c>
      <c r="I5" s="51">
        <v>860.79952351995178</v>
      </c>
      <c r="J5" s="51">
        <v>877.01461569859589</v>
      </c>
      <c r="K5" s="51">
        <v>875.63678060898326</v>
      </c>
      <c r="L5" s="51">
        <v>898.32302886903517</v>
      </c>
      <c r="M5" s="51">
        <v>895.25130873765625</v>
      </c>
      <c r="N5" s="51">
        <v>869.95041183168678</v>
      </c>
      <c r="O5" s="51">
        <v>884.44615731988006</v>
      </c>
      <c r="P5" s="51">
        <v>908.87712567892527</v>
      </c>
      <c r="Q5" s="51">
        <v>927.18176589332518</v>
      </c>
      <c r="R5" s="51">
        <v>934.77312959760673</v>
      </c>
      <c r="S5" s="51">
        <v>932.31341784665949</v>
      </c>
      <c r="T5" s="51">
        <v>917.12156981121166</v>
      </c>
    </row>
    <row r="6" spans="1:20">
      <c r="A6" s="50" t="s">
        <v>60</v>
      </c>
      <c r="B6" s="51" t="s">
        <v>660</v>
      </c>
      <c r="C6" s="51" t="s">
        <v>660</v>
      </c>
      <c r="D6" s="51">
        <v>758.51798690445787</v>
      </c>
      <c r="E6" s="51" t="s">
        <v>660</v>
      </c>
      <c r="F6" s="51">
        <v>868.74063665360165</v>
      </c>
      <c r="G6" s="51">
        <v>845.38734234475646</v>
      </c>
      <c r="H6" s="51" t="s">
        <v>660</v>
      </c>
      <c r="I6" s="51">
        <v>894.22904715941138</v>
      </c>
      <c r="J6" s="51">
        <v>881.37589639142629</v>
      </c>
      <c r="K6" s="51">
        <v>891.94804540563928</v>
      </c>
      <c r="L6" s="51">
        <v>1020.425567411062</v>
      </c>
      <c r="M6" s="51" t="s">
        <v>660</v>
      </c>
      <c r="N6" s="51">
        <v>970.85860157453317</v>
      </c>
      <c r="O6" s="51">
        <v>948.50196506659347</v>
      </c>
      <c r="P6" s="51" t="s">
        <v>660</v>
      </c>
      <c r="Q6" s="51" t="s">
        <v>660</v>
      </c>
      <c r="R6" s="51" t="s">
        <v>660</v>
      </c>
      <c r="S6" s="51" t="s">
        <v>660</v>
      </c>
      <c r="T6" s="51" t="s">
        <v>660</v>
      </c>
    </row>
    <row r="7" spans="1:20">
      <c r="A7" s="50" t="s">
        <v>61</v>
      </c>
      <c r="B7" s="51" t="s">
        <v>660</v>
      </c>
      <c r="C7" s="51" t="s">
        <v>660</v>
      </c>
      <c r="D7" s="51" t="s">
        <v>660</v>
      </c>
      <c r="E7" s="51" t="s">
        <v>660</v>
      </c>
      <c r="F7" s="51" t="s">
        <v>660</v>
      </c>
      <c r="G7" s="51" t="s">
        <v>660</v>
      </c>
      <c r="H7" s="51" t="s">
        <v>660</v>
      </c>
      <c r="I7" s="51" t="s">
        <v>660</v>
      </c>
      <c r="J7" s="51" t="s">
        <v>660</v>
      </c>
      <c r="K7" s="51" t="s">
        <v>660</v>
      </c>
      <c r="L7" s="51" t="s">
        <v>660</v>
      </c>
      <c r="M7" s="51" t="s">
        <v>660</v>
      </c>
      <c r="N7" s="51" t="s">
        <v>660</v>
      </c>
      <c r="O7" s="51" t="s">
        <v>660</v>
      </c>
      <c r="P7" s="51" t="s">
        <v>660</v>
      </c>
      <c r="Q7" s="51" t="s">
        <v>660</v>
      </c>
      <c r="R7" s="51" t="s">
        <v>660</v>
      </c>
      <c r="S7" s="51" t="s">
        <v>660</v>
      </c>
      <c r="T7" s="51" t="s">
        <v>660</v>
      </c>
    </row>
    <row r="8" spans="1:20">
      <c r="A8" s="50" t="s">
        <v>62</v>
      </c>
      <c r="B8" s="51" t="s">
        <v>660</v>
      </c>
      <c r="C8" s="51" t="s">
        <v>660</v>
      </c>
      <c r="D8" s="51" t="s">
        <v>660</v>
      </c>
      <c r="E8" s="51" t="s">
        <v>660</v>
      </c>
      <c r="F8" s="51">
        <v>907.76973967372442</v>
      </c>
      <c r="G8" s="51">
        <v>926.77345971662555</v>
      </c>
      <c r="H8" s="51">
        <v>1007.5142751219514</v>
      </c>
      <c r="I8" s="51">
        <v>946.4535894812683</v>
      </c>
      <c r="J8" s="51">
        <v>904.98632585267399</v>
      </c>
      <c r="K8" s="51">
        <v>908.13805741444867</v>
      </c>
      <c r="L8" s="51">
        <v>945.90377281690155</v>
      </c>
      <c r="M8" s="51">
        <v>919.74960557923271</v>
      </c>
      <c r="N8" s="51">
        <v>1010.6625046501707</v>
      </c>
      <c r="O8" s="51" t="s">
        <v>660</v>
      </c>
      <c r="P8" s="51" t="s">
        <v>660</v>
      </c>
      <c r="Q8" s="51" t="s">
        <v>660</v>
      </c>
      <c r="R8" s="51" t="s">
        <v>660</v>
      </c>
      <c r="S8" s="51" t="s">
        <v>660</v>
      </c>
      <c r="T8" s="51" t="s">
        <v>660</v>
      </c>
    </row>
    <row r="9" spans="1:20">
      <c r="A9" s="52" t="s">
        <v>5</v>
      </c>
      <c r="B9" s="53">
        <v>919.86301040038472</v>
      </c>
      <c r="C9" s="53">
        <v>898.57581152819716</v>
      </c>
      <c r="D9" s="53">
        <v>921.60269241366939</v>
      </c>
      <c r="E9" s="53">
        <v>934.78721528610481</v>
      </c>
      <c r="F9" s="53">
        <v>910.39956186582276</v>
      </c>
      <c r="G9" s="53">
        <v>889.47914790018706</v>
      </c>
      <c r="H9" s="53">
        <v>873.69470071894705</v>
      </c>
      <c r="I9" s="53">
        <v>862.45307697388535</v>
      </c>
      <c r="J9" s="53">
        <v>877.65336236047153</v>
      </c>
      <c r="K9" s="53">
        <v>876.4342238953144</v>
      </c>
      <c r="L9" s="53">
        <v>899.77381817586729</v>
      </c>
      <c r="M9" s="53">
        <v>895.42888298184539</v>
      </c>
      <c r="N9" s="53">
        <v>870.03937835503655</v>
      </c>
      <c r="O9" s="53">
        <v>884.45511791307888</v>
      </c>
      <c r="P9" s="53">
        <v>908.87712567892527</v>
      </c>
      <c r="Q9" s="53">
        <v>927.18176589332518</v>
      </c>
      <c r="R9" s="53">
        <v>934.77312959760673</v>
      </c>
      <c r="S9" s="53">
        <v>932.31341784665949</v>
      </c>
      <c r="T9" s="53">
        <v>917.12156981121166</v>
      </c>
    </row>
    <row r="10" spans="1:20">
      <c r="A10" s="50" t="s">
        <v>63</v>
      </c>
      <c r="B10" s="51">
        <v>400.5362568137042</v>
      </c>
      <c r="C10" s="51">
        <v>389.78025516354779</v>
      </c>
      <c r="D10" s="51">
        <v>387.26486770383264</v>
      </c>
      <c r="E10" s="51">
        <v>391.48799843886928</v>
      </c>
      <c r="F10" s="51">
        <v>391.34801783991605</v>
      </c>
      <c r="G10" s="51">
        <v>391.03106741154966</v>
      </c>
      <c r="H10" s="51">
        <v>384.33883950500382</v>
      </c>
      <c r="I10" s="51">
        <v>387.78837684033346</v>
      </c>
      <c r="J10" s="51">
        <v>372.78582123158014</v>
      </c>
      <c r="K10" s="51">
        <v>376.45818709320525</v>
      </c>
      <c r="L10" s="51">
        <v>367.51640695193237</v>
      </c>
      <c r="M10" s="51">
        <v>370.33463685932185</v>
      </c>
      <c r="N10" s="51">
        <v>370.77783966316287</v>
      </c>
      <c r="O10" s="51">
        <v>369.471765657204</v>
      </c>
      <c r="P10" s="51">
        <v>369.47090361206028</v>
      </c>
      <c r="Q10" s="51">
        <v>371.67283210895351</v>
      </c>
      <c r="R10" s="51">
        <v>372.62496473739247</v>
      </c>
      <c r="S10" s="51">
        <v>369.59996818488389</v>
      </c>
      <c r="T10" s="51">
        <v>371.74528141013366</v>
      </c>
    </row>
    <row r="11" spans="1:20">
      <c r="A11" s="52" t="s">
        <v>64</v>
      </c>
      <c r="B11" s="53">
        <v>400.5362568137042</v>
      </c>
      <c r="C11" s="53">
        <v>389.78025516354779</v>
      </c>
      <c r="D11" s="53">
        <v>387.26486770383264</v>
      </c>
      <c r="E11" s="53">
        <v>391.48799843886928</v>
      </c>
      <c r="F11" s="53">
        <v>391.34801783991605</v>
      </c>
      <c r="G11" s="53">
        <v>391.03106741154966</v>
      </c>
      <c r="H11" s="53">
        <v>384.33883950500382</v>
      </c>
      <c r="I11" s="53">
        <v>387.78837684033346</v>
      </c>
      <c r="J11" s="53">
        <v>372.78582123158014</v>
      </c>
      <c r="K11" s="53">
        <v>376.45818709320525</v>
      </c>
      <c r="L11" s="53">
        <v>367.51640695193237</v>
      </c>
      <c r="M11" s="53">
        <v>370.33463685932185</v>
      </c>
      <c r="N11" s="53">
        <v>370.77783966316287</v>
      </c>
      <c r="O11" s="53">
        <v>369.471765657204</v>
      </c>
      <c r="P11" s="53">
        <v>369.47090361206028</v>
      </c>
      <c r="Q11" s="53">
        <v>371.67283210895351</v>
      </c>
      <c r="R11" s="53">
        <v>372.62496473739247</v>
      </c>
      <c r="S11" s="53">
        <v>369.59996818488389</v>
      </c>
      <c r="T11" s="53">
        <v>371.74528141013366</v>
      </c>
    </row>
    <row r="12" spans="1:20">
      <c r="A12" s="50" t="s">
        <v>22</v>
      </c>
      <c r="B12" s="62" t="s">
        <v>22</v>
      </c>
      <c r="C12" s="62" t="s">
        <v>22</v>
      </c>
      <c r="D12" s="62" t="s">
        <v>22</v>
      </c>
      <c r="E12" s="62" t="s">
        <v>22</v>
      </c>
      <c r="F12" s="62" t="s">
        <v>22</v>
      </c>
      <c r="G12" s="62" t="s">
        <v>22</v>
      </c>
      <c r="H12" s="62" t="s">
        <v>22</v>
      </c>
      <c r="I12" s="62" t="s">
        <v>22</v>
      </c>
      <c r="J12" s="62" t="s">
        <v>22</v>
      </c>
      <c r="K12" s="62" t="s">
        <v>22</v>
      </c>
      <c r="L12" s="62" t="s">
        <v>22</v>
      </c>
      <c r="M12" s="62" t="s">
        <v>22</v>
      </c>
      <c r="N12" s="62" t="s">
        <v>22</v>
      </c>
      <c r="O12" s="62" t="s">
        <v>22</v>
      </c>
      <c r="P12" s="62" t="s">
        <v>22</v>
      </c>
      <c r="Q12" s="62" t="s">
        <v>22</v>
      </c>
      <c r="R12" s="62" t="s">
        <v>22</v>
      </c>
      <c r="S12" s="62" t="s">
        <v>22</v>
      </c>
      <c r="T12" s="62" t="s">
        <v>22</v>
      </c>
    </row>
    <row r="13" spans="1:20">
      <c r="A13" s="52" t="s">
        <v>65</v>
      </c>
      <c r="B13" s="53">
        <v>1906.2853366371291</v>
      </c>
      <c r="C13" s="53">
        <v>1867.0910392222877</v>
      </c>
      <c r="D13" s="53">
        <v>1794.6407810542585</v>
      </c>
      <c r="E13" s="53">
        <v>1690.7157184241219</v>
      </c>
      <c r="F13" s="53">
        <v>1620.2567651019049</v>
      </c>
      <c r="G13" s="53">
        <v>1664.9388174834778</v>
      </c>
      <c r="H13" s="53">
        <v>1629.8630145789484</v>
      </c>
      <c r="I13" s="53">
        <v>1495.8769747691595</v>
      </c>
      <c r="J13" s="53">
        <v>1606.0201425642711</v>
      </c>
      <c r="K13" s="53">
        <v>1793.9296662706413</v>
      </c>
      <c r="L13" s="53">
        <v>1624.8209309418553</v>
      </c>
      <c r="M13" s="53">
        <v>1639.4677875182267</v>
      </c>
      <c r="N13" s="53">
        <v>1498.3587269450604</v>
      </c>
      <c r="O13" s="53">
        <v>1651.213965273753</v>
      </c>
      <c r="P13" s="53">
        <v>1414.4751904845905</v>
      </c>
      <c r="Q13" s="53">
        <v>1382.3869362837449</v>
      </c>
      <c r="R13" s="53">
        <v>1745.815487030382</v>
      </c>
      <c r="S13" s="53">
        <v>1603.1342918827713</v>
      </c>
      <c r="T13" s="53">
        <v>1382.7474154987133</v>
      </c>
    </row>
    <row r="14" spans="1:20">
      <c r="A14" s="50" t="s">
        <v>131</v>
      </c>
      <c r="B14" s="51">
        <v>1250.4698711305914</v>
      </c>
      <c r="C14" s="51">
        <v>972.74470934725719</v>
      </c>
      <c r="D14" s="51">
        <v>1014.8624255758821</v>
      </c>
      <c r="E14" s="51" t="s">
        <v>660</v>
      </c>
      <c r="F14" s="51" t="s">
        <v>660</v>
      </c>
      <c r="G14" s="51" t="s">
        <v>660</v>
      </c>
      <c r="H14" s="51" t="s">
        <v>660</v>
      </c>
      <c r="I14" s="51" t="s">
        <v>660</v>
      </c>
      <c r="J14" s="51" t="s">
        <v>660</v>
      </c>
      <c r="K14" s="51" t="s">
        <v>660</v>
      </c>
      <c r="L14" s="51" t="s">
        <v>660</v>
      </c>
      <c r="M14" s="51" t="s">
        <v>660</v>
      </c>
      <c r="N14" s="51" t="s">
        <v>660</v>
      </c>
      <c r="O14" s="51" t="s">
        <v>660</v>
      </c>
      <c r="P14" s="51" t="s">
        <v>660</v>
      </c>
      <c r="Q14" s="51" t="s">
        <v>660</v>
      </c>
      <c r="R14" s="51" t="s">
        <v>660</v>
      </c>
      <c r="S14" s="51" t="s">
        <v>660</v>
      </c>
      <c r="T14" s="51" t="s">
        <v>660</v>
      </c>
    </row>
    <row r="15" spans="1:20" ht="13.2" customHeight="1">
      <c r="A15" s="50" t="s">
        <v>132</v>
      </c>
      <c r="B15" s="297">
        <v>895.79186628474895</v>
      </c>
      <c r="C15" s="297">
        <v>898.44728775701799</v>
      </c>
      <c r="D15" s="297">
        <v>904.10390709616865</v>
      </c>
      <c r="E15" s="297">
        <v>926.26308079507726</v>
      </c>
      <c r="F15" s="297">
        <v>895.35242672721961</v>
      </c>
      <c r="G15" s="297">
        <v>895.66787436735399</v>
      </c>
      <c r="H15" s="297">
        <v>908.05985484570624</v>
      </c>
      <c r="I15" s="297">
        <v>919.96444655407856</v>
      </c>
      <c r="J15" s="297">
        <v>860.02031957907093</v>
      </c>
      <c r="K15" s="297">
        <v>804.80591391291102</v>
      </c>
      <c r="L15" s="297">
        <v>758.28466299574188</v>
      </c>
      <c r="M15" s="297">
        <v>830.85673253338928</v>
      </c>
      <c r="N15" s="297">
        <v>846.32132459865932</v>
      </c>
      <c r="O15" s="297">
        <v>871.31728233225726</v>
      </c>
      <c r="P15" s="297">
        <v>802.35657119708844</v>
      </c>
      <c r="Q15" s="297">
        <v>788.72949998313265</v>
      </c>
      <c r="R15" s="297">
        <v>793.6623257002783</v>
      </c>
      <c r="S15" s="297">
        <v>830.00558640782128</v>
      </c>
      <c r="T15" s="297">
        <v>818.90965384564038</v>
      </c>
    </row>
    <row r="16" spans="1:20">
      <c r="A16" s="50" t="s">
        <v>133</v>
      </c>
      <c r="B16" s="297" t="s">
        <v>660</v>
      </c>
      <c r="C16" s="297" t="s">
        <v>660</v>
      </c>
      <c r="D16" s="297" t="s">
        <v>660</v>
      </c>
      <c r="E16" s="297">
        <v>1302.385031043721</v>
      </c>
      <c r="F16" s="297">
        <v>1395.9551786172492</v>
      </c>
      <c r="G16" s="297">
        <v>1313.1982743710137</v>
      </c>
      <c r="H16" s="297">
        <v>1309.6724472858364</v>
      </c>
      <c r="I16" s="297">
        <v>1366.9979870451493</v>
      </c>
      <c r="J16" s="297">
        <v>697.42481997198036</v>
      </c>
      <c r="K16" s="297">
        <v>685.87446984615656</v>
      </c>
      <c r="L16" s="297">
        <v>703.27060548716645</v>
      </c>
      <c r="M16" s="297">
        <v>685.87446984615656</v>
      </c>
      <c r="N16" s="297">
        <v>696.15353604072925</v>
      </c>
      <c r="O16" s="297">
        <v>696.89767650780834</v>
      </c>
      <c r="P16" s="297">
        <v>687.39704761451083</v>
      </c>
      <c r="Q16" s="297">
        <v>684.36453246239023</v>
      </c>
      <c r="R16" s="297">
        <v>702.95160863182639</v>
      </c>
      <c r="S16" s="297">
        <v>684.65760219688593</v>
      </c>
      <c r="T16" s="297">
        <v>669.4777802935921</v>
      </c>
    </row>
    <row r="17" spans="1:20">
      <c r="A17" s="50" t="s">
        <v>66</v>
      </c>
      <c r="B17" s="51" t="s">
        <v>660</v>
      </c>
      <c r="C17" s="51" t="s">
        <v>660</v>
      </c>
      <c r="D17" s="51" t="s">
        <v>660</v>
      </c>
      <c r="E17" s="51">
        <v>544.28399999999988</v>
      </c>
      <c r="F17" s="51">
        <v>498.92700000000013</v>
      </c>
      <c r="G17" s="51">
        <v>544.28399999999999</v>
      </c>
      <c r="H17" s="51">
        <v>498.92700000000002</v>
      </c>
      <c r="I17" s="51">
        <v>554.36333333333334</v>
      </c>
      <c r="J17" s="51">
        <v>537.30599999999993</v>
      </c>
      <c r="K17" s="51">
        <v>609.79966666666667</v>
      </c>
      <c r="L17" s="51">
        <v>352.18376470588237</v>
      </c>
      <c r="M17" s="51">
        <v>748.39050000000009</v>
      </c>
      <c r="N17" s="51">
        <v>449.03427636786176</v>
      </c>
      <c r="O17" s="51">
        <v>359.2127893842532</v>
      </c>
      <c r="P17" s="51">
        <v>449.03400819033487</v>
      </c>
      <c r="Q17" s="51" t="s">
        <v>660</v>
      </c>
      <c r="R17" s="51" t="s">
        <v>660</v>
      </c>
      <c r="S17" s="51" t="s">
        <v>660</v>
      </c>
      <c r="T17" s="51" t="s">
        <v>660</v>
      </c>
    </row>
    <row r="18" spans="1:20">
      <c r="A18" s="50" t="s">
        <v>67</v>
      </c>
      <c r="B18" s="51">
        <v>730.14053271394152</v>
      </c>
      <c r="C18" s="51">
        <v>732.93856178705994</v>
      </c>
      <c r="D18" s="51">
        <v>733.84265452314617</v>
      </c>
      <c r="E18" s="51">
        <v>734.67545216649262</v>
      </c>
      <c r="F18" s="51">
        <v>739.11686763045918</v>
      </c>
      <c r="G18" s="51">
        <v>789.83268851561695</v>
      </c>
      <c r="H18" s="51">
        <v>779.92777741750444</v>
      </c>
      <c r="I18" s="51">
        <v>1374.2496399108757</v>
      </c>
      <c r="J18" s="51">
        <v>790.27900990040314</v>
      </c>
      <c r="K18" s="51">
        <v>1557.8830550676219</v>
      </c>
      <c r="L18" s="51">
        <v>755.39093937860787</v>
      </c>
      <c r="M18" s="51" t="s">
        <v>660</v>
      </c>
      <c r="N18" s="51" t="s">
        <v>660</v>
      </c>
      <c r="O18" s="51" t="s">
        <v>660</v>
      </c>
      <c r="P18" s="51" t="s">
        <v>660</v>
      </c>
      <c r="Q18" s="51" t="s">
        <v>660</v>
      </c>
      <c r="R18" s="51" t="s">
        <v>660</v>
      </c>
      <c r="S18" s="51" t="s">
        <v>660</v>
      </c>
      <c r="T18" s="51" t="s">
        <v>660</v>
      </c>
    </row>
    <row r="19" spans="1:20">
      <c r="A19" s="50" t="s">
        <v>68</v>
      </c>
      <c r="B19" s="51">
        <v>319.3470197802198</v>
      </c>
      <c r="C19" s="51">
        <v>321.30861081081088</v>
      </c>
      <c r="D19" s="51">
        <v>338.95700830188684</v>
      </c>
      <c r="E19" s="51" t="s">
        <v>660</v>
      </c>
      <c r="F19" s="51" t="s">
        <v>660</v>
      </c>
      <c r="G19" s="51" t="s">
        <v>660</v>
      </c>
      <c r="H19" s="51" t="s">
        <v>660</v>
      </c>
      <c r="I19" s="51" t="s">
        <v>660</v>
      </c>
      <c r="J19" s="51" t="s">
        <v>660</v>
      </c>
      <c r="K19" s="51" t="s">
        <v>660</v>
      </c>
      <c r="L19" s="51" t="s">
        <v>660</v>
      </c>
      <c r="M19" s="51" t="s">
        <v>660</v>
      </c>
      <c r="N19" s="51">
        <v>649.89246467374721</v>
      </c>
      <c r="O19" s="51" t="s">
        <v>660</v>
      </c>
      <c r="P19" s="51" t="s">
        <v>660</v>
      </c>
      <c r="Q19" s="51" t="s">
        <v>660</v>
      </c>
      <c r="R19" s="51" t="s">
        <v>660</v>
      </c>
      <c r="S19" s="51" t="s">
        <v>660</v>
      </c>
      <c r="T19" s="51" t="s">
        <v>660</v>
      </c>
    </row>
    <row r="20" spans="1:20">
      <c r="A20" s="50" t="s">
        <v>69</v>
      </c>
      <c r="B20" s="51">
        <v>504.1738167938932</v>
      </c>
      <c r="C20" s="51">
        <v>420.5963462686567</v>
      </c>
      <c r="D20" s="51">
        <v>413.58360766773166</v>
      </c>
      <c r="E20" s="51">
        <v>420.20919941089841</v>
      </c>
      <c r="F20" s="51">
        <v>427.84544099660269</v>
      </c>
      <c r="G20" s="51">
        <v>419.22983967168267</v>
      </c>
      <c r="H20" s="51">
        <v>414.10276428571433</v>
      </c>
      <c r="I20" s="51">
        <v>381.00878045292012</v>
      </c>
      <c r="J20" s="51">
        <v>398.31282830769237</v>
      </c>
      <c r="K20" s="51">
        <v>435.62763191489364</v>
      </c>
      <c r="L20" s="51">
        <v>392.50651885714291</v>
      </c>
      <c r="M20" s="51">
        <v>404.71212255319153</v>
      </c>
      <c r="N20" s="51">
        <v>384.46533833012364</v>
      </c>
      <c r="O20" s="51">
        <v>395.24467252932777</v>
      </c>
      <c r="P20" s="51">
        <v>369.49159649773992</v>
      </c>
      <c r="Q20" s="51">
        <v>373.03599973590582</v>
      </c>
      <c r="R20" s="51">
        <v>432.01140380451739</v>
      </c>
      <c r="S20" s="51">
        <v>433.80174090405592</v>
      </c>
      <c r="T20" s="51">
        <v>423.45249175326666</v>
      </c>
    </row>
    <row r="21" spans="1:20">
      <c r="A21" s="50" t="s">
        <v>70</v>
      </c>
      <c r="B21" s="51">
        <v>448.12374159112358</v>
      </c>
      <c r="C21" s="51">
        <v>381.18232498902995</v>
      </c>
      <c r="D21" s="51">
        <v>474.8386607033442</v>
      </c>
      <c r="E21" s="51">
        <v>426.44672358958246</v>
      </c>
      <c r="F21" s="51">
        <v>492.61303301617835</v>
      </c>
      <c r="G21" s="51">
        <v>410.37394668438316</v>
      </c>
      <c r="H21" s="51">
        <v>384.93427519461926</v>
      </c>
      <c r="I21" s="51">
        <v>434.9975477936058</v>
      </c>
      <c r="J21" s="51">
        <v>347.18680711841523</v>
      </c>
      <c r="K21" s="51">
        <v>412.23458251661583</v>
      </c>
      <c r="L21" s="51">
        <v>330.03832661562421</v>
      </c>
      <c r="M21" s="51">
        <v>356.58727646515393</v>
      </c>
      <c r="N21" s="51">
        <v>355.8412985296149</v>
      </c>
      <c r="O21" s="51">
        <v>356.7045349410925</v>
      </c>
      <c r="P21" s="51">
        <v>347.50830827113219</v>
      </c>
      <c r="Q21" s="51">
        <v>328.20143827642221</v>
      </c>
      <c r="R21" s="51">
        <v>348.61516157857284</v>
      </c>
      <c r="S21" s="51">
        <v>330.15891421958906</v>
      </c>
      <c r="T21" s="51">
        <v>346.97956665817344</v>
      </c>
    </row>
    <row r="22" spans="1:20">
      <c r="A22" s="50" t="s">
        <v>71</v>
      </c>
      <c r="B22" s="51">
        <v>749.62750909090903</v>
      </c>
      <c r="C22" s="51">
        <v>810.16706574563204</v>
      </c>
      <c r="D22" s="51">
        <v>826.26771484560561</v>
      </c>
      <c r="E22" s="51">
        <v>851.29569365079351</v>
      </c>
      <c r="F22" s="51">
        <v>871.1049334867663</v>
      </c>
      <c r="G22" s="51">
        <v>783.23723864734313</v>
      </c>
      <c r="H22" s="51">
        <v>781.63941608002983</v>
      </c>
      <c r="I22" s="51">
        <v>786.95202064056934</v>
      </c>
      <c r="J22" s="51">
        <v>770.42413425572522</v>
      </c>
      <c r="K22" s="51">
        <v>740.4168944503059</v>
      </c>
      <c r="L22" s="51">
        <v>683.94675072160624</v>
      </c>
      <c r="M22" s="51">
        <v>721.17629999999986</v>
      </c>
      <c r="N22" s="51">
        <v>707.21818310958304</v>
      </c>
      <c r="O22" s="51">
        <v>730.5941939365249</v>
      </c>
      <c r="P22" s="51">
        <v>722.33513090323311</v>
      </c>
      <c r="Q22" s="51">
        <v>663.30607966222669</v>
      </c>
      <c r="R22" s="51">
        <v>627.75080886756609</v>
      </c>
      <c r="S22" s="51">
        <v>674.14705203383744</v>
      </c>
      <c r="T22" s="51">
        <v>652.41228270199838</v>
      </c>
    </row>
    <row r="23" spans="1:20">
      <c r="A23" s="50" t="s">
        <v>72</v>
      </c>
      <c r="B23" s="51" t="s">
        <v>660</v>
      </c>
      <c r="C23" s="51" t="s">
        <v>660</v>
      </c>
      <c r="D23" s="51" t="s">
        <v>660</v>
      </c>
      <c r="E23" s="51">
        <v>372.29025599999994</v>
      </c>
      <c r="F23" s="51">
        <v>545.99450911376493</v>
      </c>
      <c r="G23" s="51">
        <v>370.90721215805473</v>
      </c>
      <c r="H23" s="51">
        <v>373.93811889683349</v>
      </c>
      <c r="I23" s="51">
        <v>380.48532452830187</v>
      </c>
      <c r="J23" s="51">
        <v>430.36602256097564</v>
      </c>
      <c r="K23" s="51">
        <v>395.21258598726115</v>
      </c>
      <c r="L23" s="51" t="s">
        <v>660</v>
      </c>
      <c r="M23" s="51" t="s">
        <v>660</v>
      </c>
      <c r="N23" s="51" t="s">
        <v>660</v>
      </c>
      <c r="O23" s="51" t="s">
        <v>660</v>
      </c>
      <c r="P23" s="51" t="s">
        <v>660</v>
      </c>
      <c r="Q23" s="51" t="s">
        <v>660</v>
      </c>
      <c r="R23" s="51" t="s">
        <v>660</v>
      </c>
      <c r="S23" s="51" t="s">
        <v>660</v>
      </c>
      <c r="T23" s="51" t="s">
        <v>660</v>
      </c>
    </row>
    <row r="24" spans="1:20">
      <c r="A24" s="50" t="s">
        <v>130</v>
      </c>
      <c r="B24" s="51">
        <v>507.57853728813558</v>
      </c>
      <c r="C24" s="51">
        <v>505.57018116591917</v>
      </c>
      <c r="D24" s="51">
        <v>518.42768108108123</v>
      </c>
      <c r="E24" s="51">
        <v>502.03247633587802</v>
      </c>
      <c r="F24" s="51">
        <v>499.41151893687714</v>
      </c>
      <c r="G24" s="51">
        <v>502.25800754716983</v>
      </c>
      <c r="H24" s="51">
        <v>503.31317142857142</v>
      </c>
      <c r="I24" s="51">
        <v>514.04599999999994</v>
      </c>
      <c r="J24" s="51">
        <v>504.69970909090921</v>
      </c>
      <c r="K24" s="51">
        <v>506.20577586206895</v>
      </c>
      <c r="L24" s="51">
        <v>499.74357446808517</v>
      </c>
      <c r="M24" s="51">
        <v>500.45343749999995</v>
      </c>
      <c r="N24" s="51">
        <v>515.10866947711668</v>
      </c>
      <c r="O24" s="51">
        <v>482.67676518046386</v>
      </c>
      <c r="P24" s="51">
        <v>465.95285736317834</v>
      </c>
      <c r="Q24" s="51">
        <v>502.80602555468516</v>
      </c>
      <c r="R24" s="51">
        <v>470.52106565366699</v>
      </c>
      <c r="S24" s="51">
        <v>458.78187203221586</v>
      </c>
      <c r="T24" s="51">
        <v>475.52317708477398</v>
      </c>
    </row>
    <row r="25" spans="1:20">
      <c r="A25" s="50" t="s">
        <v>134</v>
      </c>
      <c r="B25" s="51">
        <v>467.05298668050295</v>
      </c>
      <c r="C25" s="51">
        <v>500.83489433627727</v>
      </c>
      <c r="D25" s="51">
        <v>454.26417853178492</v>
      </c>
      <c r="E25" s="51">
        <v>407.92557013488766</v>
      </c>
      <c r="F25" s="51">
        <v>415.59875011778718</v>
      </c>
      <c r="G25" s="51">
        <v>1081.2961603067233</v>
      </c>
      <c r="H25" s="51">
        <v>1657.6362915181703</v>
      </c>
      <c r="I25" s="51">
        <v>1627.0322729153957</v>
      </c>
      <c r="J25" s="51">
        <v>323.03752314970609</v>
      </c>
      <c r="K25" s="51">
        <v>310.10769575058919</v>
      </c>
      <c r="L25" s="51">
        <v>464.96094720110898</v>
      </c>
      <c r="M25" s="51">
        <v>415.87377812077909</v>
      </c>
      <c r="N25" s="51">
        <v>421.82944587755003</v>
      </c>
      <c r="O25" s="51">
        <v>412.89805301672897</v>
      </c>
      <c r="P25" s="51">
        <v>474.79534752988377</v>
      </c>
      <c r="Q25" s="51">
        <v>423.29003014124925</v>
      </c>
      <c r="R25" s="51">
        <v>430.55711855028795</v>
      </c>
      <c r="S25" s="51">
        <v>394.7457347283239</v>
      </c>
      <c r="T25" s="51">
        <v>442.1161451237341</v>
      </c>
    </row>
    <row r="26" spans="1:20">
      <c r="A26" s="50" t="s">
        <v>73</v>
      </c>
      <c r="B26" s="51">
        <v>708.81400823210902</v>
      </c>
      <c r="C26" s="51">
        <v>726.60693789828213</v>
      </c>
      <c r="D26" s="51">
        <v>747.86117085156764</v>
      </c>
      <c r="E26" s="51" t="s">
        <v>660</v>
      </c>
      <c r="F26" s="51">
        <v>736.98757823393532</v>
      </c>
      <c r="G26" s="51" t="s">
        <v>660</v>
      </c>
      <c r="H26" s="51" t="s">
        <v>660</v>
      </c>
      <c r="I26" s="51" t="s">
        <v>660</v>
      </c>
      <c r="J26" s="51" t="s">
        <v>660</v>
      </c>
      <c r="K26" s="51" t="s">
        <v>660</v>
      </c>
      <c r="L26" s="51" t="s">
        <v>660</v>
      </c>
      <c r="M26" s="51" t="s">
        <v>660</v>
      </c>
      <c r="N26" s="51" t="s">
        <v>660</v>
      </c>
      <c r="O26" s="51" t="s">
        <v>660</v>
      </c>
      <c r="P26" s="51" t="s">
        <v>660</v>
      </c>
      <c r="Q26" s="51" t="s">
        <v>660</v>
      </c>
      <c r="R26" s="51" t="s">
        <v>660</v>
      </c>
      <c r="S26" s="51" t="s">
        <v>660</v>
      </c>
      <c r="T26" s="51" t="s">
        <v>660</v>
      </c>
    </row>
    <row r="27" spans="1:20">
      <c r="A27" s="50" t="s">
        <v>74</v>
      </c>
      <c r="B27" s="51">
        <v>732.69000000000028</v>
      </c>
      <c r="C27" s="51" t="s">
        <v>660</v>
      </c>
      <c r="D27" s="51" t="s">
        <v>660</v>
      </c>
      <c r="E27" s="51" t="s">
        <v>660</v>
      </c>
      <c r="F27" s="51" t="s">
        <v>660</v>
      </c>
      <c r="G27" s="51" t="s">
        <v>660</v>
      </c>
      <c r="H27" s="51" t="s">
        <v>660</v>
      </c>
      <c r="I27" s="51" t="s">
        <v>660</v>
      </c>
      <c r="J27" s="51" t="s">
        <v>660</v>
      </c>
      <c r="K27" s="51" t="s">
        <v>660</v>
      </c>
      <c r="L27" s="51" t="s">
        <v>660</v>
      </c>
      <c r="M27" s="51" t="s">
        <v>660</v>
      </c>
      <c r="N27" s="51" t="s">
        <v>660</v>
      </c>
      <c r="O27" s="51" t="s">
        <v>660</v>
      </c>
      <c r="P27" s="51" t="s">
        <v>660</v>
      </c>
      <c r="Q27" s="51" t="s">
        <v>660</v>
      </c>
      <c r="R27" s="51" t="s">
        <v>660</v>
      </c>
      <c r="S27" s="51" t="s">
        <v>660</v>
      </c>
      <c r="T27" s="51" t="s">
        <v>660</v>
      </c>
    </row>
    <row r="28" spans="1:20">
      <c r="A28" s="50" t="s">
        <v>75</v>
      </c>
      <c r="B28" s="51">
        <v>634.94987586206901</v>
      </c>
      <c r="C28" s="51">
        <v>874.85175203619895</v>
      </c>
      <c r="D28" s="51">
        <v>977.10149058295963</v>
      </c>
      <c r="E28" s="51">
        <v>1022.9748000000001</v>
      </c>
      <c r="F28" s="51" t="s">
        <v>660</v>
      </c>
      <c r="G28" s="51" t="s">
        <v>660</v>
      </c>
      <c r="H28" s="51" t="s">
        <v>660</v>
      </c>
      <c r="I28" s="51" t="s">
        <v>660</v>
      </c>
      <c r="J28" s="51" t="s">
        <v>660</v>
      </c>
      <c r="K28" s="51" t="s">
        <v>660</v>
      </c>
      <c r="L28" s="51" t="s">
        <v>660</v>
      </c>
      <c r="M28" s="51" t="s">
        <v>660</v>
      </c>
      <c r="N28" s="51" t="s">
        <v>660</v>
      </c>
      <c r="O28" s="51" t="s">
        <v>660</v>
      </c>
      <c r="P28" s="51" t="s">
        <v>660</v>
      </c>
      <c r="Q28" s="51" t="s">
        <v>660</v>
      </c>
      <c r="R28" s="51" t="s">
        <v>660</v>
      </c>
      <c r="S28" s="51" t="s">
        <v>660</v>
      </c>
      <c r="T28" s="51" t="s">
        <v>660</v>
      </c>
    </row>
    <row r="29" spans="1:20">
      <c r="A29" s="52" t="s">
        <v>76</v>
      </c>
      <c r="B29" s="55">
        <v>675.12940388539357</v>
      </c>
      <c r="C29" s="55">
        <v>704.80077272103563</v>
      </c>
      <c r="D29" s="55">
        <v>712.37587403352256</v>
      </c>
      <c r="E29" s="55">
        <v>697.50213522700176</v>
      </c>
      <c r="F29" s="55">
        <v>664.70746118338116</v>
      </c>
      <c r="G29" s="55">
        <v>691.08248870890748</v>
      </c>
      <c r="H29" s="55">
        <v>621.24716692697336</v>
      </c>
      <c r="I29" s="55">
        <v>637.77602239044882</v>
      </c>
      <c r="J29" s="55">
        <v>565.12038940152206</v>
      </c>
      <c r="K29" s="55">
        <v>583.61797920133347</v>
      </c>
      <c r="L29" s="55">
        <v>561.75420141910467</v>
      </c>
      <c r="M29" s="55">
        <v>547.63710139238685</v>
      </c>
      <c r="N29" s="55">
        <v>546.99833065966607</v>
      </c>
      <c r="O29" s="55">
        <v>543.19532532520293</v>
      </c>
      <c r="P29" s="55">
        <v>535.24302028429724</v>
      </c>
      <c r="Q29" s="55">
        <v>516.95116729375934</v>
      </c>
      <c r="R29" s="55">
        <v>521.23430915876861</v>
      </c>
      <c r="S29" s="55">
        <v>536.59845075152919</v>
      </c>
      <c r="T29" s="55">
        <v>537.96976351225942</v>
      </c>
    </row>
    <row r="30" spans="1:20">
      <c r="A30" s="50" t="s">
        <v>22</v>
      </c>
      <c r="B30" s="96" t="s">
        <v>22</v>
      </c>
      <c r="C30" s="96" t="s">
        <v>22</v>
      </c>
      <c r="D30" s="96" t="s">
        <v>22</v>
      </c>
      <c r="E30" s="96" t="s">
        <v>22</v>
      </c>
      <c r="F30" s="96" t="s">
        <v>22</v>
      </c>
      <c r="G30" s="96" t="s">
        <v>22</v>
      </c>
      <c r="H30" s="96" t="s">
        <v>22</v>
      </c>
      <c r="I30" s="96" t="s">
        <v>22</v>
      </c>
      <c r="J30" s="96" t="s">
        <v>22</v>
      </c>
      <c r="K30" s="96" t="s">
        <v>22</v>
      </c>
      <c r="L30" s="96" t="s">
        <v>22</v>
      </c>
      <c r="M30" s="96" t="s">
        <v>22</v>
      </c>
      <c r="N30" s="96" t="s">
        <v>22</v>
      </c>
      <c r="O30" s="96" t="s">
        <v>22</v>
      </c>
      <c r="P30" s="96" t="s">
        <v>22</v>
      </c>
      <c r="Q30" s="96" t="s">
        <v>22</v>
      </c>
      <c r="R30" s="96" t="s">
        <v>22</v>
      </c>
      <c r="S30" s="96" t="s">
        <v>22</v>
      </c>
      <c r="T30" s="96" t="s">
        <v>22</v>
      </c>
    </row>
    <row r="31" spans="1:20">
      <c r="A31" s="50" t="s">
        <v>77</v>
      </c>
      <c r="B31" s="51">
        <v>796.75060691859119</v>
      </c>
      <c r="C31" s="51">
        <v>783.72696793344608</v>
      </c>
      <c r="D31" s="51">
        <v>1089.4610273198323</v>
      </c>
      <c r="E31" s="51">
        <v>857.77867895193685</v>
      </c>
      <c r="F31" s="51">
        <v>785.17703272807296</v>
      </c>
      <c r="G31" s="51">
        <v>904.11825089746424</v>
      </c>
      <c r="H31" s="51">
        <v>822.41187786410285</v>
      </c>
      <c r="I31" s="51">
        <v>867.32735406304005</v>
      </c>
      <c r="J31" s="51">
        <v>833.02314680834911</v>
      </c>
      <c r="K31" s="51">
        <v>803.00375121760749</v>
      </c>
      <c r="L31" s="51">
        <v>805.93268814775627</v>
      </c>
      <c r="M31" s="51">
        <v>819.93665828695634</v>
      </c>
      <c r="N31" s="51">
        <v>804.05997801312901</v>
      </c>
      <c r="O31" s="51">
        <v>818.98760630387073</v>
      </c>
      <c r="P31" s="51">
        <v>835.6615219893024</v>
      </c>
      <c r="Q31" s="51">
        <v>827.46544316528866</v>
      </c>
      <c r="R31" s="51">
        <v>815.65919097913718</v>
      </c>
      <c r="S31" s="51">
        <v>824.26758529056895</v>
      </c>
      <c r="T31" s="51">
        <v>852.66324756230244</v>
      </c>
    </row>
    <row r="32" spans="1:20" ht="24.6">
      <c r="A32" s="54" t="s">
        <v>135</v>
      </c>
      <c r="B32" s="55">
        <v>317.12613313443995</v>
      </c>
      <c r="C32" s="55">
        <v>318.11092539433054</v>
      </c>
      <c r="D32" s="55">
        <v>445.09395465908955</v>
      </c>
      <c r="E32" s="55">
        <v>356.43523817415553</v>
      </c>
      <c r="F32" s="55">
        <v>289.47363733971213</v>
      </c>
      <c r="G32" s="55">
        <v>328.85445751297351</v>
      </c>
      <c r="H32" s="55">
        <v>286.90120177760105</v>
      </c>
      <c r="I32" s="55">
        <v>262.74072767413492</v>
      </c>
      <c r="J32" s="55">
        <v>194.54606868526571</v>
      </c>
      <c r="K32" s="55">
        <v>183.62156330786357</v>
      </c>
      <c r="L32" s="55">
        <v>176.90253325274094</v>
      </c>
      <c r="M32" s="55">
        <v>183.294886922594</v>
      </c>
      <c r="N32" s="55">
        <v>177.58834984887446</v>
      </c>
      <c r="O32" s="55">
        <v>179.4885777542064</v>
      </c>
      <c r="P32" s="55">
        <v>181.9174386739914</v>
      </c>
      <c r="Q32" s="55">
        <v>176.12107418379031</v>
      </c>
      <c r="R32" s="55">
        <v>177.11888890448319</v>
      </c>
      <c r="S32" s="55">
        <v>194.10886866371479</v>
      </c>
      <c r="T32" s="55">
        <v>217.90932556125824</v>
      </c>
    </row>
    <row r="33" spans="1:20">
      <c r="A33" s="474"/>
      <c r="B33" s="475"/>
      <c r="C33" s="475"/>
      <c r="D33" s="475"/>
      <c r="E33" s="475"/>
      <c r="F33" s="475"/>
      <c r="G33" s="475"/>
      <c r="H33" s="475"/>
      <c r="I33" s="475"/>
      <c r="J33" s="475"/>
      <c r="K33" s="476"/>
      <c r="L33" s="56"/>
      <c r="M33" s="56"/>
      <c r="N33" s="56"/>
      <c r="O33" s="56"/>
      <c r="P33" s="56"/>
      <c r="Q33" s="56"/>
      <c r="R33" s="56"/>
      <c r="S33" s="56"/>
      <c r="T33" s="56"/>
    </row>
    <row r="34" spans="1:20">
      <c r="A34" s="52" t="s">
        <v>78</v>
      </c>
      <c r="B34" s="55">
        <v>583.10544004014434</v>
      </c>
      <c r="C34" s="55">
        <v>574.00618704557382</v>
      </c>
      <c r="D34" s="55">
        <v>560.54988500946115</v>
      </c>
      <c r="E34" s="55">
        <v>555.58651709129663</v>
      </c>
      <c r="F34" s="55">
        <v>546.6555151630422</v>
      </c>
      <c r="G34" s="55">
        <v>548.71243758788887</v>
      </c>
      <c r="H34" s="55">
        <v>549.32041045361427</v>
      </c>
      <c r="I34" s="55">
        <v>564.60661632858341</v>
      </c>
      <c r="J34" s="55">
        <v>557.92730362661291</v>
      </c>
      <c r="K34" s="55">
        <v>577.99583680151511</v>
      </c>
      <c r="L34" s="55">
        <v>547.60646240535948</v>
      </c>
      <c r="M34" s="55">
        <v>521.69420556750106</v>
      </c>
      <c r="N34" s="55">
        <v>496.11836645096122</v>
      </c>
      <c r="O34" s="55">
        <v>499.26106708855639</v>
      </c>
      <c r="P34" s="55">
        <v>467.27586408808406</v>
      </c>
      <c r="Q34" s="55">
        <v>454.39897196236006</v>
      </c>
      <c r="R34" s="55">
        <v>456.77358441137125</v>
      </c>
      <c r="S34" s="55">
        <v>477.35559320927973</v>
      </c>
      <c r="T34" s="55">
        <v>460.20734040195129</v>
      </c>
    </row>
    <row r="35" spans="1:20">
      <c r="A35" s="52" t="s">
        <v>79</v>
      </c>
      <c r="B35" s="55">
        <v>571.94196588083412</v>
      </c>
      <c r="C35" s="55">
        <v>562.43191988881267</v>
      </c>
      <c r="D35" s="55">
        <v>549.07320412415152</v>
      </c>
      <c r="E35" s="55">
        <v>542.90199874312054</v>
      </c>
      <c r="F35" s="55">
        <v>528.42856725866034</v>
      </c>
      <c r="G35" s="55">
        <v>526.31268911471773</v>
      </c>
      <c r="H35" s="55">
        <v>523.28081750556555</v>
      </c>
      <c r="I35" s="55">
        <v>532.20088471925965</v>
      </c>
      <c r="J35" s="55">
        <v>508.51936835408401</v>
      </c>
      <c r="K35" s="55">
        <v>516.53639706164847</v>
      </c>
      <c r="L35" s="55">
        <v>492.30303813442424</v>
      </c>
      <c r="M35" s="55">
        <v>470.66104108873679</v>
      </c>
      <c r="N35" s="55">
        <v>450.18648326345703</v>
      </c>
      <c r="O35" s="55">
        <v>449.51733448035259</v>
      </c>
      <c r="P35" s="55">
        <v>420.57379487934037</v>
      </c>
      <c r="Q35" s="55">
        <v>405.19183200859817</v>
      </c>
      <c r="R35" s="55">
        <v>410.85624873584749</v>
      </c>
      <c r="S35" s="55">
        <v>435.14555352238449</v>
      </c>
      <c r="T35" s="55">
        <v>414.8695322013341</v>
      </c>
    </row>
    <row r="36" spans="1:20" ht="24.6">
      <c r="A36" s="54" t="s">
        <v>80</v>
      </c>
      <c r="B36" s="55">
        <v>557.7460299912334</v>
      </c>
      <c r="C36" s="55">
        <v>548.71208238473537</v>
      </c>
      <c r="D36" s="55">
        <v>535.78700614130344</v>
      </c>
      <c r="E36" s="55">
        <v>529.8515839758752</v>
      </c>
      <c r="F36" s="55">
        <v>514.92353163624966</v>
      </c>
      <c r="G36" s="55">
        <v>512.67162045776297</v>
      </c>
      <c r="H36" s="55">
        <v>508.8932446548003</v>
      </c>
      <c r="I36" s="55">
        <v>517.12530498967055</v>
      </c>
      <c r="J36" s="55">
        <v>492.16833296413768</v>
      </c>
      <c r="K36" s="55">
        <v>497.94543617154295</v>
      </c>
      <c r="L36" s="55">
        <v>475.51556831464012</v>
      </c>
      <c r="M36" s="55">
        <v>454.64768950685493</v>
      </c>
      <c r="N36" s="55">
        <v>435.90732438707926</v>
      </c>
      <c r="O36" s="55">
        <v>434.4011200980014</v>
      </c>
      <c r="P36" s="55">
        <v>406.60424239021825</v>
      </c>
      <c r="Q36" s="55">
        <v>391.1106675540662</v>
      </c>
      <c r="R36" s="55">
        <v>397.26045548574808</v>
      </c>
      <c r="S36" s="55">
        <v>421.31493753013825</v>
      </c>
      <c r="T36" s="55">
        <v>399.38041808245771</v>
      </c>
    </row>
    <row r="37" spans="1:20">
      <c r="A37" s="57"/>
      <c r="B37" s="58"/>
      <c r="C37" s="58"/>
      <c r="D37" s="58"/>
      <c r="E37" s="58"/>
      <c r="F37" s="59"/>
      <c r="G37" s="59"/>
      <c r="H37" s="59"/>
      <c r="I37" s="59"/>
      <c r="J37" s="59"/>
      <c r="K37" s="128"/>
      <c r="L37" s="59"/>
      <c r="M37" s="59"/>
      <c r="N37" s="59"/>
      <c r="O37" s="59"/>
      <c r="P37" s="59"/>
      <c r="Q37" s="59"/>
      <c r="R37" s="59"/>
      <c r="S37" s="59"/>
      <c r="T37" s="59"/>
    </row>
    <row r="38" spans="1:20">
      <c r="A38" s="60" t="s">
        <v>81</v>
      </c>
      <c r="B38" s="55">
        <v>485.78773113957266</v>
      </c>
      <c r="C38" s="55">
        <v>477.61686070155594</v>
      </c>
      <c r="D38" s="55">
        <v>471.87474370596419</v>
      </c>
      <c r="E38" s="55">
        <v>451.19788755498416</v>
      </c>
      <c r="F38" s="55">
        <v>414.48892816233217</v>
      </c>
      <c r="G38" s="55">
        <v>406.30611464374522</v>
      </c>
      <c r="H38" s="55">
        <v>396.67419083581973</v>
      </c>
      <c r="I38" s="55">
        <v>388.48290777834188</v>
      </c>
      <c r="J38" s="55">
        <v>339.97948205243108</v>
      </c>
      <c r="K38" s="55">
        <v>326.41941396144028</v>
      </c>
      <c r="L38" s="55">
        <v>335.08813526863582</v>
      </c>
      <c r="M38" s="55">
        <v>325.14576857645693</v>
      </c>
      <c r="N38" s="55">
        <v>320.04474737596757</v>
      </c>
      <c r="O38" s="55">
        <v>300.1956942963435</v>
      </c>
      <c r="P38" s="55">
        <v>281.27291618420026</v>
      </c>
      <c r="Q38" s="55">
        <v>263.2245712890911</v>
      </c>
      <c r="R38" s="55">
        <v>271.0514627442239</v>
      </c>
      <c r="S38" s="55">
        <v>306.56478349917666</v>
      </c>
      <c r="T38" s="55">
        <v>255.72906593766257</v>
      </c>
    </row>
    <row r="39" spans="1:20">
      <c r="A39" s="61" t="s">
        <v>82</v>
      </c>
      <c r="B39" s="61"/>
      <c r="C39" s="61"/>
    </row>
    <row r="40" spans="1:20">
      <c r="A40" s="61" t="s">
        <v>83</v>
      </c>
      <c r="B40" s="61"/>
      <c r="C40" s="61"/>
    </row>
    <row r="41" spans="1:20">
      <c r="A41" s="61" t="s">
        <v>119</v>
      </c>
      <c r="B41" s="61"/>
      <c r="C41" s="61"/>
    </row>
    <row r="42" spans="1:20">
      <c r="A42" s="61" t="s">
        <v>662</v>
      </c>
      <c r="B42" s="61"/>
      <c r="C42" s="61"/>
    </row>
    <row r="44" spans="1:20">
      <c r="G44" s="112"/>
      <c r="H44" s="112"/>
      <c r="I44" s="112"/>
      <c r="J44" s="112"/>
      <c r="K44" s="112"/>
      <c r="L44" s="112"/>
      <c r="M44" s="112"/>
      <c r="N44" s="112"/>
      <c r="O44" s="112"/>
      <c r="P44" s="112"/>
      <c r="Q44" s="112"/>
      <c r="R44" s="112"/>
      <c r="S44" s="112"/>
      <c r="T44" s="112"/>
    </row>
    <row r="51" spans="2:2">
      <c r="B51" s="112"/>
    </row>
  </sheetData>
  <mergeCells count="1">
    <mergeCell ref="A3:A4"/>
  </mergeCells>
  <hyperlinks>
    <hyperlink ref="A1" location="Indice!A1" display="Torna indietro"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XFC56"/>
  <sheetViews>
    <sheetView showGridLines="0" workbookViewId="0">
      <selection activeCell="O30" sqref="O30"/>
    </sheetView>
  </sheetViews>
  <sheetFormatPr defaultColWidth="9.21875" defaultRowHeight="14.4" zeroHeight="1"/>
  <cols>
    <col min="1" max="1" width="115.21875" customWidth="1"/>
    <col min="2" max="9" width="0" hidden="1" customWidth="1"/>
    <col min="10" max="16383" width="9.21875" hidden="1" customWidth="1"/>
    <col min="16384" max="16384" width="6.5546875" hidden="1" customWidth="1"/>
  </cols>
  <sheetData>
    <row r="1"/>
    <row r="2"/>
    <row r="3"/>
    <row r="4"/>
    <row r="5"/>
    <row r="6"/>
    <row r="7"/>
    <row r="8"/>
    <row r="9"/>
    <row r="10"/>
    <row r="11"/>
    <row r="12"/>
    <row r="13"/>
    <row r="14"/>
    <row r="15"/>
    <row r="16"/>
    <row r="17" spans="1:9" ht="15.6">
      <c r="B17" s="49"/>
      <c r="C17" s="49"/>
      <c r="D17" s="49"/>
      <c r="E17" s="49"/>
      <c r="F17" s="49"/>
      <c r="G17" s="49"/>
      <c r="H17" s="49"/>
      <c r="I17" s="49"/>
    </row>
    <row r="18" spans="1:9" ht="15.6">
      <c r="A18" s="98" t="s">
        <v>493</v>
      </c>
      <c r="B18" s="49"/>
      <c r="C18" s="49"/>
      <c r="D18" s="49"/>
      <c r="E18" s="49"/>
      <c r="F18" s="49"/>
      <c r="G18" s="49"/>
      <c r="H18" s="49"/>
      <c r="I18" s="49"/>
    </row>
    <row r="19" spans="1:9" ht="15.6">
      <c r="A19" s="659" t="s">
        <v>491</v>
      </c>
      <c r="B19" s="49"/>
      <c r="C19" s="49"/>
      <c r="D19" s="49"/>
      <c r="E19" s="49"/>
      <c r="F19" s="49"/>
      <c r="G19" s="49"/>
      <c r="H19" s="49"/>
      <c r="I19" s="49"/>
    </row>
    <row r="20" spans="1:9" ht="15.6">
      <c r="A20" s="659" t="s">
        <v>492</v>
      </c>
      <c r="B20" s="12"/>
      <c r="C20" s="12"/>
      <c r="D20" s="12"/>
      <c r="E20" s="12"/>
      <c r="F20" s="12"/>
      <c r="G20" s="12"/>
      <c r="H20" s="12"/>
      <c r="I20" s="12"/>
    </row>
    <row r="21" spans="1:9" ht="15.6">
      <c r="A21" s="659" t="s">
        <v>611</v>
      </c>
      <c r="B21" s="12"/>
      <c r="C21" s="12"/>
      <c r="D21" s="12"/>
      <c r="E21" s="12"/>
      <c r="F21" s="12"/>
      <c r="G21" s="12"/>
      <c r="H21" s="12"/>
      <c r="I21" s="12"/>
    </row>
    <row r="22" spans="1:9" ht="15.6">
      <c r="A22" s="659" t="s">
        <v>656</v>
      </c>
      <c r="B22" s="12"/>
      <c r="C22" s="12"/>
      <c r="D22" s="12"/>
      <c r="E22" s="12"/>
      <c r="F22" s="12"/>
      <c r="G22" s="12"/>
      <c r="H22" s="12"/>
      <c r="I22" s="12"/>
    </row>
    <row r="23" spans="1:9" ht="15.6">
      <c r="B23" s="12"/>
      <c r="C23" s="12"/>
      <c r="D23" s="12"/>
      <c r="E23" s="12"/>
      <c r="F23" s="12"/>
      <c r="G23" s="12"/>
      <c r="H23" s="12"/>
      <c r="I23" s="12"/>
    </row>
    <row r="24" spans="1:9" ht="15.6">
      <c r="A24" s="98" t="s">
        <v>293</v>
      </c>
      <c r="B24" s="12"/>
      <c r="C24" s="12"/>
      <c r="D24" s="12"/>
      <c r="E24" s="12"/>
      <c r="F24" s="12"/>
      <c r="G24" s="12"/>
      <c r="H24" s="12"/>
      <c r="I24" s="12"/>
    </row>
    <row r="25" spans="1:9" ht="15.6">
      <c r="A25" s="99" t="s">
        <v>120</v>
      </c>
      <c r="B25" s="12"/>
      <c r="C25" s="12"/>
      <c r="D25" s="12"/>
      <c r="E25" s="12"/>
      <c r="F25" s="12"/>
      <c r="G25" s="12"/>
      <c r="H25" s="12"/>
      <c r="I25" s="12"/>
    </row>
    <row r="26" spans="1:9" ht="15.6">
      <c r="A26" s="99"/>
      <c r="B26" s="12"/>
      <c r="C26" s="12"/>
      <c r="D26" s="12"/>
      <c r="E26" s="12"/>
      <c r="F26" s="12"/>
      <c r="G26" s="12"/>
      <c r="H26" s="12"/>
      <c r="I26" s="12"/>
    </row>
    <row r="27" spans="1:9" ht="15.6">
      <c r="A27" s="303" t="s">
        <v>294</v>
      </c>
      <c r="B27" s="12"/>
      <c r="C27" s="12"/>
      <c r="D27" s="12"/>
      <c r="E27" s="12"/>
      <c r="F27" s="12"/>
      <c r="G27" s="12"/>
      <c r="H27" s="12"/>
      <c r="I27" s="12"/>
    </row>
    <row r="28" spans="1:9" ht="15.6">
      <c r="A28" s="303" t="s">
        <v>87</v>
      </c>
      <c r="B28" s="12"/>
      <c r="C28" s="12"/>
      <c r="D28" s="12"/>
      <c r="E28" s="12"/>
      <c r="F28" s="12"/>
      <c r="G28" s="12"/>
      <c r="H28" s="12"/>
      <c r="I28" s="12"/>
    </row>
    <row r="29" spans="1:9" ht="15.6">
      <c r="A29" s="303" t="s">
        <v>88</v>
      </c>
      <c r="B29" s="12"/>
      <c r="C29" s="12"/>
      <c r="D29" s="12"/>
      <c r="E29" s="12"/>
      <c r="F29" s="12"/>
      <c r="G29" s="12"/>
      <c r="H29" s="12"/>
      <c r="I29" s="12"/>
    </row>
    <row r="30" spans="1:9" ht="15.6">
      <c r="A30" s="303" t="s">
        <v>89</v>
      </c>
      <c r="B30" s="12"/>
      <c r="C30" s="12"/>
      <c r="D30" s="12"/>
      <c r="E30" s="12"/>
      <c r="F30" s="12"/>
      <c r="G30" s="12"/>
      <c r="H30" s="12"/>
      <c r="I30" s="12"/>
    </row>
    <row r="31" spans="1:9" ht="15.6">
      <c r="A31" s="303" t="s">
        <v>296</v>
      </c>
      <c r="B31" s="12"/>
      <c r="C31" s="12"/>
      <c r="D31" s="12"/>
      <c r="E31" s="12"/>
      <c r="F31" s="12"/>
      <c r="G31" s="12"/>
      <c r="H31" s="12"/>
      <c r="I31" s="12"/>
    </row>
    <row r="32" spans="1:9">
      <c r="A32" s="303" t="s">
        <v>174</v>
      </c>
    </row>
    <row r="33" spans="1:1">
      <c r="A33" s="327" t="s">
        <v>352</v>
      </c>
    </row>
    <row r="34" spans="1:1">
      <c r="A34" s="303" t="s">
        <v>353</v>
      </c>
    </row>
    <row r="35" spans="1:1">
      <c r="A35" s="303" t="s">
        <v>175</v>
      </c>
    </row>
    <row r="36" spans="1:1">
      <c r="A36" s="303" t="s">
        <v>442</v>
      </c>
    </row>
    <row r="37" spans="1:1">
      <c r="A37" s="327" t="s">
        <v>176</v>
      </c>
    </row>
    <row r="38" spans="1:1">
      <c r="A38" s="327" t="s">
        <v>177</v>
      </c>
    </row>
    <row r="39" spans="1:1">
      <c r="A39" s="327" t="s">
        <v>178</v>
      </c>
    </row>
    <row r="40" spans="1:1">
      <c r="A40" s="303" t="s">
        <v>179</v>
      </c>
    </row>
    <row r="41" spans="1:1">
      <c r="A41" s="303" t="s">
        <v>351</v>
      </c>
    </row>
    <row r="42" spans="1:1">
      <c r="A42" s="303" t="s">
        <v>180</v>
      </c>
    </row>
    <row r="43" spans="1:1">
      <c r="A43" s="303" t="s">
        <v>181</v>
      </c>
    </row>
    <row r="44" spans="1:1">
      <c r="A44" s="303" t="s">
        <v>356</v>
      </c>
    </row>
    <row r="45" spans="1:1">
      <c r="A45" s="303" t="s">
        <v>357</v>
      </c>
    </row>
    <row r="46" spans="1:1">
      <c r="A46" s="303" t="s">
        <v>358</v>
      </c>
    </row>
    <row r="47" spans="1:1">
      <c r="A47" s="303" t="s">
        <v>350</v>
      </c>
    </row>
    <row r="48" spans="1:1">
      <c r="A48" s="303" t="s">
        <v>354</v>
      </c>
    </row>
    <row r="49" spans="1:1">
      <c r="A49" s="303" t="s">
        <v>359</v>
      </c>
    </row>
    <row r="50" spans="1:1">
      <c r="A50" s="303" t="s">
        <v>360</v>
      </c>
    </row>
    <row r="51" spans="1:1">
      <c r="A51" s="303" t="s">
        <v>355</v>
      </c>
    </row>
    <row r="52" spans="1:1"/>
    <row r="53" spans="1:1"/>
    <row r="54" spans="1:1"/>
    <row r="55" spans="1:1"/>
    <row r="56" spans="1:1"/>
  </sheetData>
  <hyperlinks>
    <hyperlink ref="A28" location="'1'!A1" display="Produzione termoelettrica lorda per combustibile" xr:uid="{00000000-0004-0000-0000-000000000000}"/>
    <hyperlink ref="A31" location="'4'!A1" display="4. Produzione netta di energia elettrica totale e produzione combinata di energia elettrica e calore" xr:uid="{00000000-0004-0000-0000-000001000000}"/>
    <hyperlink ref="A32" location="'5'!A1" display="5. Produzione elettrica lorda per fonte" xr:uid="{00000000-0004-0000-0000-000002000000}"/>
    <hyperlink ref="A33" location="'6'!A1" display="6.  Produzione elettrica lorda e potenza efficiente lorda per fonte rinnovabile." xr:uid="{00000000-0004-0000-0000-000003000000}"/>
    <hyperlink ref="A34" location="'7'!A1" display="7. Quota della produzione elettrica lorda nazionale dalle diverse fonti." xr:uid="{00000000-0004-0000-0000-000004000000}"/>
    <hyperlink ref="A35" location="'8'!A1" display="8. Fattori di emissione medi nazionali" xr:uid="{00000000-0004-0000-0000-000005000000}"/>
    <hyperlink ref="A36" location="'9'!A1" display="9. Emissioni di anidride carbonica dal settore termoelettrico per combustibile" xr:uid="{00000000-0004-0000-0000-000006000000}"/>
    <hyperlink ref="A37" location="'10'!A1" display="10. Andamento delle emissioni da produzione termoelettrica per combustibile" xr:uid="{00000000-0004-0000-0000-000007000000}"/>
    <hyperlink ref="A38" location="'11'!A1" display="11. Variazione annuale della produzione termoelettrica e delle emissioni per combustibile (1990=100)" xr:uid="{00000000-0004-0000-0000-000008000000}"/>
    <hyperlink ref="A39" location="'12'!A1" display="12. Fattori di emissioni di anidride carbonica da produzione termoelettrica lorda per combustibile" xr:uid="{00000000-0004-0000-0000-000009000000}"/>
    <hyperlink ref="A40" location="'13'!A1" display="13. Dati di produzione e consumo di energia elettrica" xr:uid="{00000000-0004-0000-0000-00000A000000}"/>
    <hyperlink ref="A41" location="'14'!A1" display="14. Fattori di emissione della produzione elettrica nazionale e dei consumi elettrici" xr:uid="{00000000-0004-0000-0000-00000B000000}"/>
    <hyperlink ref="A42" location="'15'!A1" display="15. Andamento del fattore di emissione di anidride carbonica per kWh elettrico prodotto e consumato" xr:uid="{00000000-0004-0000-0000-00000C000000}"/>
    <hyperlink ref="A43" location="'16'!A1" display="16. Fattori di emissioni di anidride carbonica da produzione termoelettrica lorda per combustibile" xr:uid="{00000000-0004-0000-0000-00000D000000}"/>
    <hyperlink ref="A30" location="'3'!A1" display="Quota relativa di produzione termoelettrica lorda per combustibile" xr:uid="{00000000-0004-0000-0000-00000E000000}"/>
    <hyperlink ref="A29" location="'2'!A1" display="2. Percentuale della produzione termoelettrica lorda per combustibile" xr:uid="{00000000-0004-0000-0000-00000F000000}"/>
    <hyperlink ref="A25" r:id="rId1" xr:uid="{00000000-0004-0000-0000-000010000000}"/>
    <hyperlink ref="A50" location="'23'!A1" display="23. Consumi energetici ed efficienza del parco termoelettrico" xr:uid="{00000000-0004-0000-0000-000011000000}"/>
    <hyperlink ref="A27" location="'0'!A1" display="0. Raggruppamento dei combustibili secondo le categorie utilizzate da Terna e da Eurostat" xr:uid="{00000000-0004-0000-0000-000012000000}"/>
    <hyperlink ref="A44" location="'17'!A1" display="17. Fattori di emissione per la produzione elettrica per tipologia di impianto e tipologia di combustibile" xr:uid="{00000000-0004-0000-0000-000013000000}"/>
    <hyperlink ref="A45" location="'18'!A1" display="18. Fattori di emissione per produzione di elettricità e calore da centrali cogenerative per tipologia di impianto e tipologia di combustibile" xr:uid="{00000000-0004-0000-0000-000014000000}"/>
    <hyperlink ref="A46" location="'19'!A1" display="19. Emissioni e Fattori di emissione di GHG e alti contaminanti per la produzione di energia elettrica e calore" xr:uid="{00000000-0004-0000-0000-000015000000}"/>
    <hyperlink ref="A47" location="'20'!A1" display="20. Consumo di energia destinata alla produzione elettrica per tipologia di impianto e tipologia di combustibile" xr:uid="{00000000-0004-0000-0000-000016000000}"/>
    <hyperlink ref="A48" location="'21'!A1" display="21. Consumo di energia delle centrali cogenerative per tipologia di impianto e tipologia di combustibile" xr:uid="{00000000-0004-0000-0000-000017000000}"/>
    <hyperlink ref="A49" location="'22'!A1" display="22. Produzione di calore delle centrali cogenerative per tipologia di impianto e tipologia di combustibile" xr:uid="{00000000-0004-0000-0000-000018000000}"/>
    <hyperlink ref="A51" location="'24'!A1" display="24. Efficienza elettrica e totale per tipologia di impianto e tipologia di combustibile" xr:uid="{00000000-0004-0000-0000-000019000000}"/>
    <hyperlink ref="A20" r:id="rId2" xr:uid="{7A3CA205-97A9-4A33-819F-CD382FC0540E}"/>
    <hyperlink ref="A19" r:id="rId3" xr:uid="{079109AE-408C-43B9-967E-D2C28F2C0E41}"/>
    <hyperlink ref="A21" r:id="rId4" xr:uid="{DBC50BEE-5569-4C3E-9E8A-770C2F16D79E}"/>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4"/>
  <dimension ref="A1:P209"/>
  <sheetViews>
    <sheetView zoomScaleNormal="100" workbookViewId="0">
      <selection activeCell="O30" sqref="O30"/>
    </sheetView>
  </sheetViews>
  <sheetFormatPr defaultRowHeight="14.4"/>
  <cols>
    <col min="1" max="1" width="41.21875" customWidth="1"/>
    <col min="2" max="8" width="10.77734375" style="211" customWidth="1"/>
  </cols>
  <sheetData>
    <row r="1" spans="1:8" ht="15.6">
      <c r="A1" s="608" t="s">
        <v>57</v>
      </c>
      <c r="B1" s="608"/>
    </row>
    <row r="2" spans="1:8" ht="33.6" customHeight="1">
      <c r="A2" s="891" t="s">
        <v>378</v>
      </c>
      <c r="B2" s="891"/>
      <c r="C2" s="891"/>
      <c r="D2" s="891"/>
      <c r="E2" s="891"/>
      <c r="F2" s="891"/>
      <c r="G2" s="891"/>
      <c r="H2" s="891"/>
    </row>
    <row r="3" spans="1:8">
      <c r="B3" s="895" t="s">
        <v>11</v>
      </c>
      <c r="C3" s="895"/>
      <c r="D3" s="895"/>
      <c r="E3" s="895"/>
      <c r="F3" s="895"/>
      <c r="G3" s="895"/>
      <c r="H3" s="895"/>
    </row>
    <row r="4" spans="1:8" ht="28.8">
      <c r="B4" s="281" t="s">
        <v>5</v>
      </c>
      <c r="C4" s="281" t="s">
        <v>64</v>
      </c>
      <c r="D4" s="281" t="s">
        <v>7</v>
      </c>
      <c r="E4" s="281" t="s">
        <v>8</v>
      </c>
      <c r="F4" s="281" t="s">
        <v>267</v>
      </c>
      <c r="G4" s="281" t="s">
        <v>268</v>
      </c>
      <c r="H4" s="281" t="s">
        <v>10</v>
      </c>
    </row>
    <row r="5" spans="1:8">
      <c r="A5" s="283">
        <v>2023</v>
      </c>
      <c r="B5" s="894" t="s">
        <v>269</v>
      </c>
      <c r="C5" s="894"/>
      <c r="D5" s="894"/>
      <c r="E5" s="894"/>
      <c r="F5" s="894"/>
      <c r="G5" s="894"/>
      <c r="H5" s="894"/>
    </row>
    <row r="6" spans="1:8">
      <c r="A6" s="258" t="s">
        <v>286</v>
      </c>
      <c r="B6" s="279">
        <f>'6-x'!R50</f>
        <v>917.120537219472</v>
      </c>
      <c r="C6" s="279">
        <f>'6-x'!S50</f>
        <v>394.58253211535975</v>
      </c>
      <c r="D6" s="279">
        <f>'6-x'!T50</f>
        <v>1529.354887822853</v>
      </c>
      <c r="E6" s="279">
        <f>'6-x'!U50</f>
        <v>685.4608181220691</v>
      </c>
      <c r="F6" s="279">
        <f>'6-x'!V50</f>
        <v>532.76558847455965</v>
      </c>
      <c r="G6" s="279">
        <f>'6-x'!W50</f>
        <v>3.2920437383900865</v>
      </c>
      <c r="H6" s="279">
        <f>'6-x'!X50</f>
        <v>506.86742180076817</v>
      </c>
    </row>
    <row r="7" spans="1:8">
      <c r="A7" s="257" t="s">
        <v>18</v>
      </c>
      <c r="B7" s="324">
        <f>'6-x'!R51</f>
        <v>0</v>
      </c>
      <c r="C7" s="324">
        <f>'6-x'!S51</f>
        <v>513.02411325419234</v>
      </c>
      <c r="D7" s="324">
        <f>'6-x'!T51</f>
        <v>1529.354887822853</v>
      </c>
      <c r="E7" s="324">
        <f>'6-x'!U51</f>
        <v>666.39422811869679</v>
      </c>
      <c r="F7" s="324">
        <f>'6-x'!V51</f>
        <v>403.01260347439893</v>
      </c>
      <c r="G7" s="324">
        <f>'6-x'!W51</f>
        <v>3.2849495622125859</v>
      </c>
      <c r="H7" s="279">
        <f>'6-x'!X51</f>
        <v>189.06834187351478</v>
      </c>
    </row>
    <row r="8" spans="1:8">
      <c r="A8" s="257" t="s">
        <v>19</v>
      </c>
      <c r="B8" s="324">
        <f>'6-x'!R52</f>
        <v>0</v>
      </c>
      <c r="C8" s="324">
        <f>'6-x'!S52</f>
        <v>630.15317649023814</v>
      </c>
      <c r="D8" s="324">
        <f>'6-x'!T52</f>
        <v>0</v>
      </c>
      <c r="E8" s="324">
        <f>'6-x'!U52</f>
        <v>985.1317136104791</v>
      </c>
      <c r="F8" s="324">
        <f>'6-x'!V52</f>
        <v>597.85902744091834</v>
      </c>
      <c r="G8" s="324">
        <f>'6-x'!W52</f>
        <v>3.8371480220484631</v>
      </c>
      <c r="H8" s="279">
        <f>'6-x'!X52</f>
        <v>551.59599893320615</v>
      </c>
    </row>
    <row r="9" spans="1:8">
      <c r="A9" s="257" t="s">
        <v>20</v>
      </c>
      <c r="B9" s="324">
        <f>'6-x'!R53</f>
        <v>917.120537219472</v>
      </c>
      <c r="C9" s="324">
        <f>'6-x'!S53</f>
        <v>445.315347037903</v>
      </c>
      <c r="D9" s="324">
        <f>'6-x'!T53</f>
        <v>0</v>
      </c>
      <c r="E9" s="324">
        <f>'6-x'!U53</f>
        <v>687.11042673953671</v>
      </c>
      <c r="F9" s="324">
        <f>'6-x'!V53</f>
        <v>630.70842455305672</v>
      </c>
      <c r="G9" s="324">
        <f>'6-x'!W53</f>
        <v>2.990908866090594</v>
      </c>
      <c r="H9" s="279">
        <f>'6-x'!X53</f>
        <v>824.89896428461839</v>
      </c>
    </row>
    <row r="10" spans="1:8">
      <c r="A10" s="257" t="s">
        <v>21</v>
      </c>
      <c r="B10" s="324">
        <f>'6-x'!R54</f>
        <v>0</v>
      </c>
      <c r="C10" s="324">
        <f>'6-x'!S54</f>
        <v>391.21935724621727</v>
      </c>
      <c r="D10" s="324">
        <f>'6-x'!T54</f>
        <v>0</v>
      </c>
      <c r="E10" s="324">
        <f>'6-x'!U54</f>
        <v>588.74324201306513</v>
      </c>
      <c r="F10" s="324">
        <f>'6-x'!V54</f>
        <v>351.66854579638556</v>
      </c>
      <c r="G10" s="324">
        <f>'6-x'!W54</f>
        <v>2.9909088660905936</v>
      </c>
      <c r="H10" s="279">
        <f>'6-x'!X54</f>
        <v>389.80369597772022</v>
      </c>
    </row>
    <row r="11" spans="1:8">
      <c r="A11" s="257" t="s">
        <v>23</v>
      </c>
      <c r="B11" s="324">
        <f>'6-x'!R55</f>
        <v>0</v>
      </c>
      <c r="C11" s="324">
        <f>'6-x'!S55</f>
        <v>0</v>
      </c>
      <c r="D11" s="324">
        <f>'6-x'!T55</f>
        <v>0</v>
      </c>
      <c r="E11" s="324">
        <f>'6-x'!U55</f>
        <v>0</v>
      </c>
      <c r="F11" s="324">
        <f>'6-x'!V55</f>
        <v>0</v>
      </c>
      <c r="G11" s="324">
        <f>'6-x'!W55</f>
        <v>0</v>
      </c>
      <c r="H11" s="279">
        <f>'6-x'!X55</f>
        <v>0</v>
      </c>
    </row>
    <row r="12" spans="1:8">
      <c r="A12" s="257" t="s">
        <v>390</v>
      </c>
      <c r="B12" s="324">
        <f>'6-x'!R56</f>
        <v>0</v>
      </c>
      <c r="C12" s="324">
        <f>'6-x'!S56</f>
        <v>0</v>
      </c>
      <c r="D12" s="324">
        <f>'6-x'!T56</f>
        <v>0</v>
      </c>
      <c r="E12" s="324">
        <f>'6-x'!U56</f>
        <v>0</v>
      </c>
      <c r="F12" s="324">
        <f>'6-x'!V56</f>
        <v>0</v>
      </c>
      <c r="G12" s="324">
        <f>'6-x'!W56</f>
        <v>0</v>
      </c>
      <c r="H12" s="279">
        <f>'6-x'!X56</f>
        <v>0</v>
      </c>
    </row>
    <row r="13" spans="1:8">
      <c r="A13" s="258" t="s">
        <v>287</v>
      </c>
      <c r="B13" s="279">
        <f>'6-x'!R57</f>
        <v>0</v>
      </c>
      <c r="C13" s="279">
        <f>'6-x'!S57</f>
        <v>358.82415382649049</v>
      </c>
      <c r="D13" s="279">
        <f>'6-x'!T57</f>
        <v>1361.2521511382859</v>
      </c>
      <c r="E13" s="279">
        <f>'6-x'!U57</f>
        <v>444.71208443747793</v>
      </c>
      <c r="F13" s="279">
        <f>'6-x'!V57</f>
        <v>375.56471487879344</v>
      </c>
      <c r="G13" s="279">
        <f>'6-x'!W57</f>
        <v>2.4827667559065212</v>
      </c>
      <c r="H13" s="279">
        <f>'6-x'!X57</f>
        <v>354.71831816149199</v>
      </c>
    </row>
    <row r="14" spans="1:8">
      <c r="A14" s="257" t="s">
        <v>25</v>
      </c>
      <c r="B14" s="324">
        <f>'6-x'!R58</f>
        <v>0</v>
      </c>
      <c r="C14" s="324">
        <f>'6-x'!S58</f>
        <v>332.74360460487651</v>
      </c>
      <c r="D14" s="324">
        <f>'6-x'!T58</f>
        <v>1122.3386772313568</v>
      </c>
      <c r="E14" s="324">
        <f>'6-x'!U58</f>
        <v>414.0459026366533</v>
      </c>
      <c r="F14" s="324">
        <f>'6-x'!V58</f>
        <v>349.59858378657941</v>
      </c>
      <c r="G14" s="324">
        <f>'6-x'!W58</f>
        <v>2.482235074268254</v>
      </c>
      <c r="H14" s="279">
        <f>'6-x'!X58</f>
        <v>246.55940372305258</v>
      </c>
    </row>
    <row r="15" spans="1:8">
      <c r="A15" s="257" t="s">
        <v>26</v>
      </c>
      <c r="B15" s="324">
        <f>'6-x'!R59</f>
        <v>0</v>
      </c>
      <c r="C15" s="324">
        <f>'6-x'!S59</f>
        <v>316.40827289535213</v>
      </c>
      <c r="D15" s="324">
        <f>'6-x'!T59</f>
        <v>0</v>
      </c>
      <c r="E15" s="324">
        <f>'6-x'!U59</f>
        <v>349.25564386275119</v>
      </c>
      <c r="F15" s="324">
        <f>'6-x'!V59</f>
        <v>481.89615571765722</v>
      </c>
      <c r="G15" s="324">
        <f>'6-x'!W59</f>
        <v>2.5579879315742584</v>
      </c>
      <c r="H15" s="279">
        <f>'6-x'!X59</f>
        <v>317.84390999374824</v>
      </c>
    </row>
    <row r="16" spans="1:8">
      <c r="A16" s="257" t="s">
        <v>27</v>
      </c>
      <c r="B16" s="324">
        <f>'6-x'!R60</f>
        <v>0</v>
      </c>
      <c r="C16" s="324">
        <f>'6-x'!S60</f>
        <v>365.88775589956356</v>
      </c>
      <c r="D16" s="324">
        <f>'6-x'!T60</f>
        <v>1330.636163545234</v>
      </c>
      <c r="E16" s="324">
        <f>'6-x'!U60</f>
        <v>466.32302130400774</v>
      </c>
      <c r="F16" s="324">
        <f>'6-x'!V60</f>
        <v>277.37490931400123</v>
      </c>
      <c r="G16" s="324">
        <f>'6-x'!W60</f>
        <v>2.5084827748260365</v>
      </c>
      <c r="H16" s="279">
        <f>'6-x'!X60</f>
        <v>367.84680073806817</v>
      </c>
    </row>
    <row r="17" spans="1:8">
      <c r="A17" s="257" t="s">
        <v>28</v>
      </c>
      <c r="B17" s="324">
        <f>'6-x'!R61</f>
        <v>0</v>
      </c>
      <c r="C17" s="324">
        <f>'6-x'!S61</f>
        <v>283.50086553848422</v>
      </c>
      <c r="D17" s="324">
        <f>'6-x'!T61</f>
        <v>0</v>
      </c>
      <c r="E17" s="324">
        <f>'6-x'!U61</f>
        <v>341.53920746371352</v>
      </c>
      <c r="F17" s="324">
        <f>'6-x'!V61</f>
        <v>302.2594526057992</v>
      </c>
      <c r="G17" s="324">
        <f>'6-x'!W61</f>
        <v>0</v>
      </c>
      <c r="H17" s="279">
        <f>'6-x'!X61</f>
        <v>301.2754259092905</v>
      </c>
    </row>
    <row r="18" spans="1:8">
      <c r="A18" s="257" t="s">
        <v>29</v>
      </c>
      <c r="B18" s="324">
        <f>'6-x'!R62</f>
        <v>0</v>
      </c>
      <c r="C18" s="324">
        <f>'6-x'!S62</f>
        <v>533.26571993773337</v>
      </c>
      <c r="D18" s="324">
        <f>'6-x'!T62</f>
        <v>1481.7857814394035</v>
      </c>
      <c r="E18" s="324">
        <f>'6-x'!U62</f>
        <v>474.73463215340922</v>
      </c>
      <c r="F18" s="324">
        <f>'6-x'!V62</f>
        <v>555.24480954339072</v>
      </c>
      <c r="G18" s="324">
        <f>'6-x'!W62</f>
        <v>3.6401241431780207</v>
      </c>
      <c r="H18" s="279">
        <f>'6-x'!X62</f>
        <v>624.78136381393347</v>
      </c>
    </row>
    <row r="19" spans="1:8">
      <c r="A19" s="257" t="s">
        <v>391</v>
      </c>
      <c r="B19" s="324">
        <f>'6-x'!R63</f>
        <v>0</v>
      </c>
      <c r="C19" s="324">
        <f>'6-x'!S63</f>
        <v>377.90251074388755</v>
      </c>
      <c r="D19" s="324">
        <f>'6-x'!T63</f>
        <v>0</v>
      </c>
      <c r="E19" s="324">
        <f>'6-x'!U63</f>
        <v>0</v>
      </c>
      <c r="F19" s="324">
        <f>'6-x'!V63</f>
        <v>0</v>
      </c>
      <c r="G19" s="324">
        <f>'6-x'!W63</f>
        <v>0</v>
      </c>
      <c r="H19" s="279">
        <f>'6-x'!X63</f>
        <v>377.90251074388755</v>
      </c>
    </row>
    <row r="20" spans="1:8">
      <c r="A20" s="368" t="s">
        <v>10</v>
      </c>
      <c r="B20" s="370">
        <f>'6-x'!R64</f>
        <v>917.120537219472</v>
      </c>
      <c r="C20" s="370">
        <f>'6-x'!S64</f>
        <v>371.74533209361533</v>
      </c>
      <c r="D20" s="370">
        <f>'6-x'!T64</f>
        <v>1363.7281215266648</v>
      </c>
      <c r="E20" s="370">
        <f>'6-x'!U64</f>
        <v>554.5576818478188</v>
      </c>
      <c r="F20" s="370">
        <f>'6-x'!V64</f>
        <v>426.78482434190448</v>
      </c>
      <c r="G20" s="370">
        <f>'6-x'!W64</f>
        <v>2.7087886802915686</v>
      </c>
      <c r="H20" s="370">
        <f>'6-x'!X64</f>
        <v>416.40486176944984</v>
      </c>
    </row>
    <row r="21" spans="1:8" ht="15.6">
      <c r="A21" s="360"/>
      <c r="B21" s="360"/>
      <c r="C21" s="360"/>
      <c r="D21" s="360"/>
      <c r="E21" s="360"/>
      <c r="F21" s="360"/>
      <c r="G21" s="360"/>
      <c r="H21" s="360"/>
    </row>
    <row r="22" spans="1:8" ht="15.6">
      <c r="A22" s="360"/>
      <c r="B22" s="360"/>
      <c r="C22" s="360"/>
      <c r="D22" s="360"/>
      <c r="E22" s="360"/>
      <c r="F22" s="360"/>
      <c r="G22" s="360"/>
      <c r="H22" s="360"/>
    </row>
    <row r="23" spans="1:8">
      <c r="B23" s="895" t="s">
        <v>11</v>
      </c>
      <c r="C23" s="895"/>
      <c r="D23" s="895"/>
      <c r="E23" s="895"/>
      <c r="F23" s="895"/>
      <c r="G23" s="895"/>
      <c r="H23" s="895"/>
    </row>
    <row r="24" spans="1:8" ht="28.8">
      <c r="B24" s="281" t="s">
        <v>5</v>
      </c>
      <c r="C24" s="281" t="s">
        <v>64</v>
      </c>
      <c r="D24" s="281" t="s">
        <v>7</v>
      </c>
      <c r="E24" s="281" t="s">
        <v>8</v>
      </c>
      <c r="F24" s="281" t="s">
        <v>267</v>
      </c>
      <c r="G24" s="281" t="s">
        <v>268</v>
      </c>
      <c r="H24" s="281" t="s">
        <v>10</v>
      </c>
    </row>
    <row r="25" spans="1:8">
      <c r="A25" s="283">
        <v>2022</v>
      </c>
      <c r="B25" s="894" t="s">
        <v>269</v>
      </c>
      <c r="C25" s="894"/>
      <c r="D25" s="894"/>
      <c r="E25" s="894"/>
      <c r="F25" s="894"/>
      <c r="G25" s="894"/>
      <c r="H25" s="894"/>
    </row>
    <row r="26" spans="1:8">
      <c r="A26" s="258" t="s">
        <v>286</v>
      </c>
      <c r="B26" s="279">
        <f>'6-x'!R142</f>
        <v>932.31144919788414</v>
      </c>
      <c r="C26" s="279">
        <f>'6-x'!S142</f>
        <v>389.93889649639743</v>
      </c>
      <c r="D26" s="279">
        <f>'6-x'!T142</f>
        <v>1575.7027808719379</v>
      </c>
      <c r="E26" s="279">
        <f>'6-x'!U142</f>
        <v>697.36596169473421</v>
      </c>
      <c r="F26" s="279">
        <f>'6-x'!V142</f>
        <v>491.12990754129413</v>
      </c>
      <c r="G26" s="279">
        <f>'6-x'!W142</f>
        <v>4.5007791841101108</v>
      </c>
      <c r="H26" s="279">
        <f>'6-x'!X142</f>
        <v>528.30481332607621</v>
      </c>
    </row>
    <row r="27" spans="1:8">
      <c r="A27" s="257" t="s">
        <v>18</v>
      </c>
      <c r="B27" s="324">
        <f>'6-x'!R143</f>
        <v>0</v>
      </c>
      <c r="C27" s="324">
        <f>'6-x'!S143</f>
        <v>571.34680126040712</v>
      </c>
      <c r="D27" s="324">
        <f>'6-x'!T143</f>
        <v>1575.7027808719379</v>
      </c>
      <c r="E27" s="324">
        <f>'6-x'!U143</f>
        <v>672.03975944608032</v>
      </c>
      <c r="F27" s="324">
        <f>'6-x'!V143</f>
        <v>376.06383173378714</v>
      </c>
      <c r="G27" s="324">
        <f>'6-x'!W143</f>
        <v>4.4968533025789856</v>
      </c>
      <c r="H27" s="279">
        <f>'6-x'!X143</f>
        <v>168.74831300561814</v>
      </c>
    </row>
    <row r="28" spans="1:8">
      <c r="A28" s="257" t="s">
        <v>19</v>
      </c>
      <c r="B28" s="324">
        <f>'6-x'!R144</f>
        <v>0</v>
      </c>
      <c r="C28" s="324">
        <f>'6-x'!S144</f>
        <v>636.63011112908111</v>
      </c>
      <c r="D28" s="324">
        <f>'6-x'!T144</f>
        <v>0</v>
      </c>
      <c r="E28" s="324">
        <f>'6-x'!U144</f>
        <v>1080.6637447846965</v>
      </c>
      <c r="F28" s="324">
        <f>'6-x'!V144</f>
        <v>581.3766739619939</v>
      </c>
      <c r="G28" s="324">
        <f>'6-x'!W144</f>
        <v>4.9290949197739824</v>
      </c>
      <c r="H28" s="279">
        <f>'6-x'!X144</f>
        <v>556.01518419005959</v>
      </c>
    </row>
    <row r="29" spans="1:8">
      <c r="A29" s="257" t="s">
        <v>20</v>
      </c>
      <c r="B29" s="324">
        <f>'6-x'!R145</f>
        <v>932.31144919788414</v>
      </c>
      <c r="C29" s="324">
        <f>'6-x'!S145</f>
        <v>347.03853350766195</v>
      </c>
      <c r="D29" s="324">
        <f>'6-x'!T145</f>
        <v>0</v>
      </c>
      <c r="E29" s="324">
        <f>'6-x'!U145</f>
        <v>698.47346505331291</v>
      </c>
      <c r="F29" s="324">
        <f>'6-x'!V145</f>
        <v>580.5619404610884</v>
      </c>
      <c r="G29" s="324">
        <f>'6-x'!W145</f>
        <v>4.1139977821075258</v>
      </c>
      <c r="H29" s="279">
        <f>'6-x'!X145</f>
        <v>809.07223689730927</v>
      </c>
    </row>
    <row r="30" spans="1:8">
      <c r="A30" s="257" t="s">
        <v>21</v>
      </c>
      <c r="B30" s="324">
        <f>'6-x'!R146</f>
        <v>0</v>
      </c>
      <c r="C30" s="324">
        <f>'6-x'!S146</f>
        <v>391.22849957400268</v>
      </c>
      <c r="D30" s="324">
        <f>'6-x'!T146</f>
        <v>0</v>
      </c>
      <c r="E30" s="324">
        <f>'6-x'!U146</f>
        <v>589.1952504518307</v>
      </c>
      <c r="F30" s="324">
        <f>'6-x'!V146</f>
        <v>331.63941557914598</v>
      </c>
      <c r="G30" s="324">
        <f>'6-x'!W146</f>
        <v>4.078657272525545</v>
      </c>
      <c r="H30" s="279">
        <f>'6-x'!X146</f>
        <v>389.48535855507328</v>
      </c>
    </row>
    <row r="31" spans="1:8">
      <c r="A31" s="257" t="s">
        <v>23</v>
      </c>
      <c r="B31" s="324">
        <f>'6-x'!R147</f>
        <v>0</v>
      </c>
      <c r="C31" s="324">
        <f>'6-x'!S147</f>
        <v>0</v>
      </c>
      <c r="D31" s="324">
        <f>'6-x'!T147</f>
        <v>0</v>
      </c>
      <c r="E31" s="324">
        <f>'6-x'!U147</f>
        <v>0</v>
      </c>
      <c r="F31" s="324">
        <f>'6-x'!V147</f>
        <v>0</v>
      </c>
      <c r="G31" s="324">
        <f>'6-x'!W147</f>
        <v>0</v>
      </c>
      <c r="H31" s="279">
        <f>'6-x'!X147</f>
        <v>0</v>
      </c>
    </row>
    <row r="32" spans="1:8">
      <c r="A32" s="257" t="s">
        <v>390</v>
      </c>
      <c r="B32" s="324">
        <f>'6-x'!R148</f>
        <v>0</v>
      </c>
      <c r="C32" s="324">
        <f>'6-x'!S148</f>
        <v>0</v>
      </c>
      <c r="D32" s="324">
        <f>'6-x'!T148</f>
        <v>0</v>
      </c>
      <c r="E32" s="324">
        <f>'6-x'!U148</f>
        <v>0</v>
      </c>
      <c r="F32" s="324">
        <f>'6-x'!V148</f>
        <v>0</v>
      </c>
      <c r="G32" s="324">
        <f>'6-x'!W148</f>
        <v>0</v>
      </c>
      <c r="H32" s="279">
        <f>'6-x'!X148</f>
        <v>0</v>
      </c>
    </row>
    <row r="33" spans="1:8">
      <c r="A33" s="258" t="s">
        <v>287</v>
      </c>
      <c r="B33" s="279">
        <f>'6-x'!R149</f>
        <v>0</v>
      </c>
      <c r="C33" s="279">
        <f>'6-x'!S149</f>
        <v>355.26044254316969</v>
      </c>
      <c r="D33" s="279">
        <f>'6-x'!T149</f>
        <v>1585.689437343088</v>
      </c>
      <c r="E33" s="279">
        <f>'6-x'!U149</f>
        <v>432.49081155363177</v>
      </c>
      <c r="F33" s="279">
        <f>'6-x'!V149</f>
        <v>343.39692487158572</v>
      </c>
      <c r="G33" s="279">
        <f>'6-x'!W149</f>
        <v>3.3618281100046463</v>
      </c>
      <c r="H33" s="279">
        <f>'6-x'!X149</f>
        <v>355.81471422807027</v>
      </c>
    </row>
    <row r="34" spans="1:8">
      <c r="A34" s="257" t="s">
        <v>25</v>
      </c>
      <c r="B34" s="324">
        <f>'6-x'!R150</f>
        <v>0</v>
      </c>
      <c r="C34" s="324">
        <f>'6-x'!S150</f>
        <v>332.2496248641267</v>
      </c>
      <c r="D34" s="324">
        <f>'6-x'!T150</f>
        <v>1298.631006854599</v>
      </c>
      <c r="E34" s="324">
        <f>'6-x'!U150</f>
        <v>425.13619286270529</v>
      </c>
      <c r="F34" s="324">
        <f>'6-x'!V150</f>
        <v>334.9412302933423</v>
      </c>
      <c r="G34" s="324">
        <f>'6-x'!W150</f>
        <v>3.3605199944814439</v>
      </c>
      <c r="H34" s="279">
        <f>'6-x'!X150</f>
        <v>245.12056974582444</v>
      </c>
    </row>
    <row r="35" spans="1:8">
      <c r="A35" s="257" t="s">
        <v>26</v>
      </c>
      <c r="B35" s="324">
        <f>'6-x'!R151</f>
        <v>0</v>
      </c>
      <c r="C35" s="324">
        <f>'6-x'!S151</f>
        <v>317.10719649206055</v>
      </c>
      <c r="D35" s="324">
        <f>'6-x'!T151</f>
        <v>0</v>
      </c>
      <c r="E35" s="324">
        <f>'6-x'!U151</f>
        <v>367.66237182392314</v>
      </c>
      <c r="F35" s="324">
        <f>'6-x'!V151</f>
        <v>427.94949152830054</v>
      </c>
      <c r="G35" s="324">
        <f>'6-x'!W151</f>
        <v>2.8295061838393716</v>
      </c>
      <c r="H35" s="279">
        <f>'6-x'!X151</f>
        <v>321.02693453549529</v>
      </c>
    </row>
    <row r="36" spans="1:8">
      <c r="A36" s="257" t="s">
        <v>27</v>
      </c>
      <c r="B36" s="324">
        <f>'6-x'!R152</f>
        <v>0</v>
      </c>
      <c r="C36" s="324">
        <f>'6-x'!S152</f>
        <v>361.29716255840128</v>
      </c>
      <c r="D36" s="324">
        <f>'6-x'!T152</f>
        <v>1508.853717934421</v>
      </c>
      <c r="E36" s="324">
        <f>'6-x'!U152</f>
        <v>462.90875342210217</v>
      </c>
      <c r="F36" s="324">
        <f>'6-x'!V152</f>
        <v>254.23973299311567</v>
      </c>
      <c r="G36" s="324">
        <f>'6-x'!W152</f>
        <v>3.5168337868632831</v>
      </c>
      <c r="H36" s="279">
        <f>'6-x'!X152</f>
        <v>362.74582423090402</v>
      </c>
    </row>
    <row r="37" spans="1:8">
      <c r="A37" s="257" t="s">
        <v>28</v>
      </c>
      <c r="B37" s="324">
        <f>'6-x'!R153</f>
        <v>0</v>
      </c>
      <c r="C37" s="324">
        <f>'6-x'!S153</f>
        <v>279.04490572025247</v>
      </c>
      <c r="D37" s="324">
        <f>'6-x'!T153</f>
        <v>0</v>
      </c>
      <c r="E37" s="324">
        <f>'6-x'!U153</f>
        <v>358.23694864493672</v>
      </c>
      <c r="F37" s="324">
        <f>'6-x'!V153</f>
        <v>244.20564671880481</v>
      </c>
      <c r="G37" s="324">
        <f>'6-x'!W153</f>
        <v>0</v>
      </c>
      <c r="H37" s="279">
        <f>'6-x'!X153</f>
        <v>272.02768472120795</v>
      </c>
    </row>
    <row r="38" spans="1:8">
      <c r="A38" s="257" t="s">
        <v>29</v>
      </c>
      <c r="B38" s="324">
        <f>'6-x'!R154</f>
        <v>0</v>
      </c>
      <c r="C38" s="324">
        <f>'6-x'!S154</f>
        <v>521.97187917561587</v>
      </c>
      <c r="D38" s="324">
        <f>'6-x'!T154</f>
        <v>1715.2062201073343</v>
      </c>
      <c r="E38" s="324">
        <f>'6-x'!U154</f>
        <v>449.65646669676039</v>
      </c>
      <c r="F38" s="324">
        <f>'6-x'!V154</f>
        <v>525.84615376869226</v>
      </c>
      <c r="G38" s="324">
        <f>'6-x'!W154</f>
        <v>5.1134998864389347</v>
      </c>
      <c r="H38" s="279">
        <f>'6-x'!X154</f>
        <v>673.35052119853844</v>
      </c>
    </row>
    <row r="39" spans="1:8">
      <c r="A39" s="257" t="s">
        <v>391</v>
      </c>
      <c r="B39" s="324">
        <f>'6-x'!R155</f>
        <v>0</v>
      </c>
      <c r="C39" s="324">
        <f>'6-x'!S155</f>
        <v>422.92743523225761</v>
      </c>
      <c r="D39" s="324">
        <f>'6-x'!T155</f>
        <v>0</v>
      </c>
      <c r="E39" s="324">
        <f>'6-x'!U155</f>
        <v>0</v>
      </c>
      <c r="F39" s="324">
        <f>'6-x'!V155</f>
        <v>0</v>
      </c>
      <c r="G39" s="324">
        <f>'6-x'!W155</f>
        <v>0</v>
      </c>
      <c r="H39" s="279">
        <f>'6-x'!X155</f>
        <v>384.47948657477963</v>
      </c>
    </row>
    <row r="40" spans="1:8">
      <c r="A40" s="368" t="s">
        <v>10</v>
      </c>
      <c r="B40" s="370">
        <f>'6-x'!R156</f>
        <v>932.31062438875733</v>
      </c>
      <c r="C40" s="370">
        <f>'6-x'!S156</f>
        <v>369.60010461064593</v>
      </c>
      <c r="D40" s="370">
        <f>'6-x'!T156</f>
        <v>1585.5805471198173</v>
      </c>
      <c r="E40" s="370">
        <f>'6-x'!U156</f>
        <v>578.84442979447294</v>
      </c>
      <c r="F40" s="370">
        <f>'6-x'!V156</f>
        <v>393.60023321308518</v>
      </c>
      <c r="G40" s="370">
        <f>'6-x'!W156</f>
        <v>3.711948249148163</v>
      </c>
      <c r="H40" s="370">
        <f>'6-x'!X156</f>
        <v>436.6863844320448</v>
      </c>
    </row>
    <row r="41" spans="1:8" ht="15.6">
      <c r="A41" s="360"/>
      <c r="B41" s="360"/>
      <c r="C41" s="360"/>
      <c r="D41" s="360"/>
      <c r="E41" s="360"/>
      <c r="F41" s="360"/>
      <c r="G41" s="360"/>
      <c r="H41" s="360"/>
    </row>
    <row r="42" spans="1:8" ht="15.6">
      <c r="A42" s="360"/>
      <c r="B42" s="360"/>
      <c r="C42" s="360"/>
      <c r="D42" s="360"/>
      <c r="E42" s="360"/>
      <c r="F42" s="360"/>
      <c r="G42" s="360"/>
      <c r="H42" s="360"/>
    </row>
    <row r="43" spans="1:8">
      <c r="B43" s="895" t="s">
        <v>11</v>
      </c>
      <c r="C43" s="895"/>
      <c r="D43" s="895"/>
      <c r="E43" s="895"/>
      <c r="F43" s="895"/>
      <c r="G43" s="895"/>
      <c r="H43" s="895"/>
    </row>
    <row r="44" spans="1:8" ht="28.8">
      <c r="B44" s="281" t="s">
        <v>5</v>
      </c>
      <c r="C44" s="281" t="s">
        <v>64</v>
      </c>
      <c r="D44" s="281" t="s">
        <v>7</v>
      </c>
      <c r="E44" s="281" t="s">
        <v>8</v>
      </c>
      <c r="F44" s="281" t="s">
        <v>267</v>
      </c>
      <c r="G44" s="281" t="s">
        <v>268</v>
      </c>
      <c r="H44" s="281" t="s">
        <v>10</v>
      </c>
    </row>
    <row r="45" spans="1:8">
      <c r="A45" s="283">
        <v>2021</v>
      </c>
      <c r="B45" s="894" t="s">
        <v>269</v>
      </c>
      <c r="C45" s="894"/>
      <c r="D45" s="894"/>
      <c r="E45" s="894"/>
      <c r="F45" s="894"/>
      <c r="G45" s="894"/>
      <c r="H45" s="894"/>
    </row>
    <row r="46" spans="1:8">
      <c r="A46" s="258" t="s">
        <v>286</v>
      </c>
      <c r="B46" s="279">
        <f>'6-x'!R234</f>
        <v>934.77437927126357</v>
      </c>
      <c r="C46" s="279">
        <f>'6-x'!S234</f>
        <v>395.57126085849922</v>
      </c>
      <c r="D46" s="279">
        <f>'6-x'!T234</f>
        <v>1638.6040388191659</v>
      </c>
      <c r="E46" s="279">
        <f>'6-x'!U234</f>
        <v>727.83454235718477</v>
      </c>
      <c r="F46" s="279">
        <f>'6-x'!V234</f>
        <v>370.4570022641592</v>
      </c>
      <c r="G46" s="279">
        <f>'6-x'!W234</f>
        <v>7.0138113195925982</v>
      </c>
      <c r="H46" s="279">
        <f>'6-x'!X234</f>
        <v>476.34511025501416</v>
      </c>
    </row>
    <row r="47" spans="1:8">
      <c r="A47" s="257" t="s">
        <v>18</v>
      </c>
      <c r="B47" s="324">
        <f>'6-x'!R235</f>
        <v>0</v>
      </c>
      <c r="C47" s="324">
        <f>'6-x'!S235</f>
        <v>556.19971951947366</v>
      </c>
      <c r="D47" s="324">
        <f>'6-x'!T235</f>
        <v>1638.6040388191659</v>
      </c>
      <c r="E47" s="324">
        <f>'6-x'!U235</f>
        <v>669.19440440473204</v>
      </c>
      <c r="F47" s="324">
        <f>'6-x'!V235</f>
        <v>287.63303309253769</v>
      </c>
      <c r="G47" s="324">
        <f>'6-x'!W235</f>
        <v>7.0141739256778051</v>
      </c>
      <c r="H47" s="279">
        <f>'6-x'!X235</f>
        <v>156.14052801661589</v>
      </c>
    </row>
    <row r="48" spans="1:8">
      <c r="A48" s="257" t="s">
        <v>19</v>
      </c>
      <c r="B48" s="324">
        <f>'6-x'!R236</f>
        <v>0</v>
      </c>
      <c r="C48" s="324">
        <f>'6-x'!S236</f>
        <v>572.69791252510015</v>
      </c>
      <c r="D48" s="324">
        <f>'6-x'!T236</f>
        <v>0</v>
      </c>
      <c r="E48" s="324">
        <f>'6-x'!U236</f>
        <v>1049.1708468679717</v>
      </c>
      <c r="F48" s="324">
        <f>'6-x'!V236</f>
        <v>433.08643236753704</v>
      </c>
      <c r="G48" s="324">
        <f>'6-x'!W236</f>
        <v>7.520255355573414</v>
      </c>
      <c r="H48" s="279">
        <f>'6-x'!X236</f>
        <v>566.05766551598788</v>
      </c>
    </row>
    <row r="49" spans="1:8">
      <c r="A49" s="257" t="s">
        <v>20</v>
      </c>
      <c r="B49" s="324">
        <f>'6-x'!R237</f>
        <v>934.77437927126357</v>
      </c>
      <c r="C49" s="324">
        <f>'6-x'!S237</f>
        <v>584.16474170631568</v>
      </c>
      <c r="D49" s="324">
        <f>'6-x'!T237</f>
        <v>0</v>
      </c>
      <c r="E49" s="324">
        <f>'6-x'!U237</f>
        <v>733.73064384622228</v>
      </c>
      <c r="F49" s="324">
        <f>'6-x'!V237</f>
        <v>443.66069479513675</v>
      </c>
      <c r="G49" s="324">
        <f>'6-x'!W237</f>
        <v>6.4858707899369223</v>
      </c>
      <c r="H49" s="279">
        <f>'6-x'!X237</f>
        <v>803.22132421154629</v>
      </c>
    </row>
    <row r="50" spans="1:8">
      <c r="A50" s="257" t="s">
        <v>21</v>
      </c>
      <c r="B50" s="324">
        <f>'6-x'!R238</f>
        <v>0</v>
      </c>
      <c r="C50" s="324">
        <f>'6-x'!S238</f>
        <v>391.62731907682303</v>
      </c>
      <c r="D50" s="324">
        <f>'6-x'!T238</f>
        <v>0</v>
      </c>
      <c r="E50" s="324">
        <f>'6-x'!U238</f>
        <v>569.43740683667704</v>
      </c>
      <c r="F50" s="324">
        <f>'6-x'!V238</f>
        <v>253.4221840620686</v>
      </c>
      <c r="G50" s="324">
        <f>'6-x'!W238</f>
        <v>6.4528966457794192</v>
      </c>
      <c r="H50" s="279">
        <f>'6-x'!X238</f>
        <v>387.21762331686449</v>
      </c>
    </row>
    <row r="51" spans="1:8">
      <c r="A51" s="257" t="s">
        <v>23</v>
      </c>
      <c r="B51" s="324">
        <f>'6-x'!R239</f>
        <v>0</v>
      </c>
      <c r="C51" s="324">
        <f>'6-x'!S239</f>
        <v>0</v>
      </c>
      <c r="D51" s="324">
        <f>'6-x'!T239</f>
        <v>0</v>
      </c>
      <c r="E51" s="324">
        <f>'6-x'!U239</f>
        <v>0</v>
      </c>
      <c r="F51" s="324">
        <f>'6-x'!V239</f>
        <v>0</v>
      </c>
      <c r="G51" s="324">
        <f>'6-x'!W239</f>
        <v>0</v>
      </c>
      <c r="H51" s="279">
        <f>'6-x'!X239</f>
        <v>0</v>
      </c>
    </row>
    <row r="52" spans="1:8">
      <c r="A52" s="257" t="s">
        <v>390</v>
      </c>
      <c r="B52" s="324">
        <f>'6-x'!R240</f>
        <v>0</v>
      </c>
      <c r="C52" s="324">
        <f>'6-x'!S240</f>
        <v>0</v>
      </c>
      <c r="D52" s="324">
        <f>'6-x'!T240</f>
        <v>0</v>
      </c>
      <c r="E52" s="324">
        <f>'6-x'!U240</f>
        <v>0</v>
      </c>
      <c r="F52" s="324">
        <f>'6-x'!V240</f>
        <v>0</v>
      </c>
      <c r="G52" s="324">
        <f>'6-x'!W240</f>
        <v>0</v>
      </c>
      <c r="H52" s="279">
        <f>'6-x'!X240</f>
        <v>0</v>
      </c>
    </row>
    <row r="53" spans="1:8">
      <c r="A53" s="258" t="s">
        <v>287</v>
      </c>
      <c r="B53" s="279">
        <f>'6-x'!R241</f>
        <v>0</v>
      </c>
      <c r="C53" s="279">
        <f>'6-x'!S241</f>
        <v>355.60855987416397</v>
      </c>
      <c r="D53" s="279">
        <f>'6-x'!T241</f>
        <v>1725.4725695225693</v>
      </c>
      <c r="E53" s="279">
        <f>'6-x'!U241</f>
        <v>441.77934007031922</v>
      </c>
      <c r="F53" s="279">
        <f>'6-x'!V241</f>
        <v>281.65668024658629</v>
      </c>
      <c r="G53" s="279">
        <f>'6-x'!W241</f>
        <v>5.322464156838838</v>
      </c>
      <c r="H53" s="279">
        <f>'6-x'!X241</f>
        <v>356.76376864132175</v>
      </c>
    </row>
    <row r="54" spans="1:8">
      <c r="A54" s="257" t="s">
        <v>25</v>
      </c>
      <c r="B54" s="324">
        <f>'6-x'!R242</f>
        <v>0</v>
      </c>
      <c r="C54" s="324">
        <f>'6-x'!S242</f>
        <v>336.10680431675354</v>
      </c>
      <c r="D54" s="324">
        <f>'6-x'!T242</f>
        <v>1323.480895871335</v>
      </c>
      <c r="E54" s="324">
        <f>'6-x'!U242</f>
        <v>458.50256387516157</v>
      </c>
      <c r="F54" s="324">
        <f>'6-x'!V242</f>
        <v>242.09495557925294</v>
      </c>
      <c r="G54" s="324">
        <f>'6-x'!W242</f>
        <v>5.3217401353328597</v>
      </c>
      <c r="H54" s="279">
        <f>'6-x'!X242</f>
        <v>242.09058099688852</v>
      </c>
    </row>
    <row r="55" spans="1:8">
      <c r="A55" s="257" t="s">
        <v>26</v>
      </c>
      <c r="B55" s="324">
        <f>'6-x'!R243</f>
        <v>0</v>
      </c>
      <c r="C55" s="324">
        <f>'6-x'!S243</f>
        <v>320.36916630784032</v>
      </c>
      <c r="D55" s="324">
        <f>'6-x'!T243</f>
        <v>0</v>
      </c>
      <c r="E55" s="324">
        <f>'6-x'!U243</f>
        <v>372.66514736311427</v>
      </c>
      <c r="F55" s="324">
        <f>'6-x'!V243</f>
        <v>304.78756408963426</v>
      </c>
      <c r="G55" s="324">
        <f>'6-x'!W243</f>
        <v>4.2285755735895121</v>
      </c>
      <c r="H55" s="279">
        <f>'6-x'!X243</f>
        <v>321.77237730652558</v>
      </c>
    </row>
    <row r="56" spans="1:8">
      <c r="A56" s="257" t="s">
        <v>27</v>
      </c>
      <c r="B56" s="324">
        <f>'6-x'!R244</f>
        <v>0</v>
      </c>
      <c r="C56" s="324">
        <f>'6-x'!S244</f>
        <v>362.1411868965543</v>
      </c>
      <c r="D56" s="324">
        <f>'6-x'!T244</f>
        <v>1597.0353753773152</v>
      </c>
      <c r="E56" s="324">
        <f>'6-x'!U244</f>
        <v>467.43078000704526</v>
      </c>
      <c r="F56" s="324">
        <f>'6-x'!V244</f>
        <v>184.67310945538415</v>
      </c>
      <c r="G56" s="324">
        <f>'6-x'!W244</f>
        <v>5.5525591444353903</v>
      </c>
      <c r="H56" s="279">
        <f>'6-x'!X244</f>
        <v>371.97930531385703</v>
      </c>
    </row>
    <row r="57" spans="1:8">
      <c r="A57" s="257" t="s">
        <v>28</v>
      </c>
      <c r="B57" s="324">
        <f>'6-x'!R245</f>
        <v>0</v>
      </c>
      <c r="C57" s="324">
        <f>'6-x'!S245</f>
        <v>296.79196140972863</v>
      </c>
      <c r="D57" s="324">
        <f>'6-x'!T245</f>
        <v>0</v>
      </c>
      <c r="E57" s="324">
        <f>'6-x'!U245</f>
        <v>335.26506088939675</v>
      </c>
      <c r="F57" s="324">
        <f>'6-x'!V245</f>
        <v>187.22664651220387</v>
      </c>
      <c r="G57" s="324">
        <f>'6-x'!W245</f>
        <v>0</v>
      </c>
      <c r="H57" s="279">
        <f>'6-x'!X245</f>
        <v>250.9005945969366</v>
      </c>
    </row>
    <row r="58" spans="1:8">
      <c r="A58" s="257" t="s">
        <v>29</v>
      </c>
      <c r="B58" s="324">
        <f>'6-x'!R246</f>
        <v>0</v>
      </c>
      <c r="C58" s="324">
        <f>'6-x'!S246</f>
        <v>526.77209156972128</v>
      </c>
      <c r="D58" s="324">
        <f>'6-x'!T246</f>
        <v>1945.1956220212899</v>
      </c>
      <c r="E58" s="324">
        <f>'6-x'!U246</f>
        <v>463.98603520025546</v>
      </c>
      <c r="F58" s="324">
        <f>'6-x'!V246</f>
        <v>400.67615433867172</v>
      </c>
      <c r="G58" s="324">
        <f>'6-x'!W246</f>
        <v>7.2629136653007187</v>
      </c>
      <c r="H58" s="279">
        <f>'6-x'!X246</f>
        <v>645.26604526879953</v>
      </c>
    </row>
    <row r="59" spans="1:8">
      <c r="A59" s="257" t="s">
        <v>391</v>
      </c>
      <c r="B59" s="324">
        <f>'6-x'!R247</f>
        <v>0</v>
      </c>
      <c r="C59" s="324">
        <f>'6-x'!S247</f>
        <v>429.01152237680657</v>
      </c>
      <c r="D59" s="324">
        <f>'6-x'!T247</f>
        <v>0</v>
      </c>
      <c r="E59" s="324">
        <f>'6-x'!U247</f>
        <v>0</v>
      </c>
      <c r="F59" s="324">
        <f>'6-x'!V247</f>
        <v>0</v>
      </c>
      <c r="G59" s="324">
        <f>'6-x'!W247</f>
        <v>0</v>
      </c>
      <c r="H59" s="279">
        <f>'6-x'!X247</f>
        <v>413.83748139241789</v>
      </c>
    </row>
    <row r="60" spans="1:8">
      <c r="A60" s="368" t="s">
        <v>10</v>
      </c>
      <c r="B60" s="370">
        <f>'6-x'!R248</f>
        <v>934.7730459668669</v>
      </c>
      <c r="C60" s="370">
        <f>'6-x'!S248</f>
        <v>372.62501692124135</v>
      </c>
      <c r="D60" s="370">
        <f>'6-x'!T248</f>
        <v>1724.3436998301402</v>
      </c>
      <c r="E60" s="370">
        <f>'6-x'!U248</f>
        <v>589.96170462468172</v>
      </c>
      <c r="F60" s="370">
        <f>'6-x'!V248</f>
        <v>321.22049442858616</v>
      </c>
      <c r="G60" s="370">
        <f>'6-x'!W248</f>
        <v>5.8501186972239587</v>
      </c>
      <c r="H60" s="370">
        <f>'6-x'!X248</f>
        <v>412.11401076770403</v>
      </c>
    </row>
    <row r="61" spans="1:8" ht="15.6">
      <c r="A61" s="360"/>
      <c r="B61" s="360"/>
      <c r="C61" s="360"/>
      <c r="D61" s="360"/>
      <c r="E61" s="360"/>
      <c r="F61" s="360"/>
      <c r="G61" s="360"/>
      <c r="H61" s="360"/>
    </row>
    <row r="62" spans="1:8" ht="15.6">
      <c r="A62" s="360"/>
      <c r="B62" s="360"/>
      <c r="C62" s="360"/>
      <c r="D62" s="360"/>
      <c r="E62" s="360"/>
      <c r="F62" s="360"/>
      <c r="G62" s="360"/>
      <c r="H62" s="360"/>
    </row>
    <row r="63" spans="1:8">
      <c r="B63" s="895" t="s">
        <v>11</v>
      </c>
      <c r="C63" s="895"/>
      <c r="D63" s="895"/>
      <c r="E63" s="895"/>
      <c r="F63" s="895"/>
      <c r="G63" s="895"/>
      <c r="H63" s="895"/>
    </row>
    <row r="64" spans="1:8" ht="28.8">
      <c r="B64" s="281" t="s">
        <v>5</v>
      </c>
      <c r="C64" s="281" t="s">
        <v>64</v>
      </c>
      <c r="D64" s="281" t="s">
        <v>7</v>
      </c>
      <c r="E64" s="281" t="s">
        <v>8</v>
      </c>
      <c r="F64" s="281" t="s">
        <v>267</v>
      </c>
      <c r="G64" s="281" t="s">
        <v>268</v>
      </c>
      <c r="H64" s="281" t="s">
        <v>10</v>
      </c>
    </row>
    <row r="65" spans="1:10">
      <c r="A65" s="283">
        <v>2020</v>
      </c>
      <c r="B65" s="894" t="s">
        <v>269</v>
      </c>
      <c r="C65" s="894"/>
      <c r="D65" s="894"/>
      <c r="E65" s="894"/>
      <c r="F65" s="894"/>
      <c r="G65" s="894"/>
      <c r="H65" s="894"/>
    </row>
    <row r="66" spans="1:10">
      <c r="A66" s="258" t="s">
        <v>286</v>
      </c>
      <c r="B66" s="279">
        <f>'6-x'!R326</f>
        <v>930.07391538771458</v>
      </c>
      <c r="C66" s="279">
        <f>'6-x'!S326</f>
        <v>394.7209409094703</v>
      </c>
      <c r="D66" s="279">
        <f>'6-x'!T326</f>
        <v>1526.3194466769428</v>
      </c>
      <c r="E66" s="279">
        <f>'6-x'!U326</f>
        <v>724.43436127759696</v>
      </c>
      <c r="F66" s="279">
        <f>'6-x'!V326</f>
        <v>434.14344885369371</v>
      </c>
      <c r="G66" s="279">
        <f>'6-x'!W326</f>
        <v>11.242463870456785</v>
      </c>
      <c r="H66" s="279">
        <f>'6-x'!X326</f>
        <v>478.25904922349412</v>
      </c>
      <c r="J66" s="201"/>
    </row>
    <row r="67" spans="1:10">
      <c r="A67" s="257" t="s">
        <v>18</v>
      </c>
      <c r="B67" s="324">
        <f>'6-x'!R327</f>
        <v>0</v>
      </c>
      <c r="C67" s="324">
        <f>'6-x'!S327</f>
        <v>595.15610356882848</v>
      </c>
      <c r="D67" s="324">
        <f>'6-x'!T327</f>
        <v>1526.3194466769428</v>
      </c>
      <c r="E67" s="324">
        <f>'6-x'!U327</f>
        <v>639.45730833649282</v>
      </c>
      <c r="F67" s="324">
        <f>'6-x'!V327</f>
        <v>335.45221152916992</v>
      </c>
      <c r="G67" s="324">
        <f>'6-x'!W327</f>
        <v>11.24818098488136</v>
      </c>
      <c r="H67" s="279">
        <f>'6-x'!X327</f>
        <v>172.41543715554377</v>
      </c>
    </row>
    <row r="68" spans="1:10">
      <c r="A68" s="257" t="s">
        <v>19</v>
      </c>
      <c r="B68" s="324">
        <f>'6-x'!R328</f>
        <v>0</v>
      </c>
      <c r="C68" s="324">
        <f>'6-x'!S328</f>
        <v>426.3770353809565</v>
      </c>
      <c r="D68" s="324">
        <f>'6-x'!T328</f>
        <v>0</v>
      </c>
      <c r="E68" s="324">
        <f>'6-x'!U328</f>
        <v>1039.4883381726797</v>
      </c>
      <c r="F68" s="324">
        <f>'6-x'!V328</f>
        <v>517.57914117235543</v>
      </c>
      <c r="G68" s="324">
        <f>'6-x'!W328</f>
        <v>12.953880792473111</v>
      </c>
      <c r="H68" s="279">
        <f>'6-x'!X328</f>
        <v>430.27254856156128</v>
      </c>
    </row>
    <row r="69" spans="1:10">
      <c r="A69" s="257" t="s">
        <v>20</v>
      </c>
      <c r="B69" s="324">
        <f>'6-x'!R329</f>
        <v>930.07391538771458</v>
      </c>
      <c r="C69" s="324">
        <f>'6-x'!S329</f>
        <v>573.6172310590897</v>
      </c>
      <c r="D69" s="324">
        <f>'6-x'!T329</f>
        <v>0</v>
      </c>
      <c r="E69" s="324">
        <f>'6-x'!U329</f>
        <v>741.29929860103107</v>
      </c>
      <c r="F69" s="324">
        <f>'6-x'!V329</f>
        <v>521.5224540196499</v>
      </c>
      <c r="G69" s="324">
        <f>'6-x'!W329</f>
        <v>10.409142415559913</v>
      </c>
      <c r="H69" s="279">
        <f>'6-x'!X329</f>
        <v>821.59369581552357</v>
      </c>
    </row>
    <row r="70" spans="1:10">
      <c r="A70" s="257" t="s">
        <v>21</v>
      </c>
      <c r="B70" s="324">
        <f>'6-x'!R330</f>
        <v>0</v>
      </c>
      <c r="C70" s="324">
        <f>'6-x'!S330</f>
        <v>391.69481862468371</v>
      </c>
      <c r="D70" s="324">
        <f>'6-x'!T330</f>
        <v>0</v>
      </c>
      <c r="E70" s="324">
        <f>'6-x'!U330</f>
        <v>550.53908682991323</v>
      </c>
      <c r="F70" s="324">
        <f>'6-x'!V330</f>
        <v>296.25104263547649</v>
      </c>
      <c r="G70" s="324">
        <f>'6-x'!W330</f>
        <v>10.353897077662204</v>
      </c>
      <c r="H70" s="279">
        <f>'6-x'!X330</f>
        <v>388.7875253803503</v>
      </c>
      <c r="J70" s="201"/>
    </row>
    <row r="71" spans="1:10">
      <c r="A71" s="257" t="s">
        <v>23</v>
      </c>
      <c r="B71" s="324">
        <f>'6-x'!R331</f>
        <v>0</v>
      </c>
      <c r="C71" s="324">
        <f>'6-x'!S331</f>
        <v>0</v>
      </c>
      <c r="D71" s="324">
        <f>'6-x'!T331</f>
        <v>0</v>
      </c>
      <c r="E71" s="324">
        <f>'6-x'!U331</f>
        <v>0</v>
      </c>
      <c r="F71" s="324">
        <f>'6-x'!V331</f>
        <v>0</v>
      </c>
      <c r="G71" s="324">
        <f>'6-x'!W331</f>
        <v>0</v>
      </c>
      <c r="H71" s="279">
        <f>'6-x'!X331</f>
        <v>0</v>
      </c>
    </row>
    <row r="72" spans="1:10">
      <c r="A72" s="257" t="s">
        <v>390</v>
      </c>
      <c r="B72" s="324">
        <f>'6-x'!R332</f>
        <v>0</v>
      </c>
      <c r="C72" s="324">
        <f>'6-x'!S332</f>
        <v>0</v>
      </c>
      <c r="D72" s="324">
        <f>'6-x'!T332</f>
        <v>0</v>
      </c>
      <c r="E72" s="324">
        <f>'6-x'!U332</f>
        <v>0</v>
      </c>
      <c r="F72" s="324">
        <f>'6-x'!V332</f>
        <v>0</v>
      </c>
      <c r="G72" s="324">
        <f>'6-x'!W332</f>
        <v>0</v>
      </c>
      <c r="H72" s="279">
        <f>'6-x'!X332</f>
        <v>0</v>
      </c>
    </row>
    <row r="73" spans="1:10">
      <c r="A73" s="258" t="s">
        <v>287</v>
      </c>
      <c r="B73" s="279">
        <f>'6-x'!R333</f>
        <v>413.22744665494542</v>
      </c>
      <c r="C73" s="279">
        <f>'6-x'!S333</f>
        <v>355.11361394123804</v>
      </c>
      <c r="D73" s="279">
        <f>'6-x'!T333</f>
        <v>1362.5202530049664</v>
      </c>
      <c r="E73" s="279">
        <f>'6-x'!U333</f>
        <v>402.79727014563446</v>
      </c>
      <c r="F73" s="279">
        <f>'6-x'!V333</f>
        <v>315.28777607354897</v>
      </c>
      <c r="G73" s="279">
        <f>'6-x'!W333</f>
        <v>8.464861153524355</v>
      </c>
      <c r="H73" s="279">
        <f>'6-x'!X333</f>
        <v>348.76769115492147</v>
      </c>
      <c r="J73" s="201"/>
    </row>
    <row r="74" spans="1:10">
      <c r="A74" s="257" t="s">
        <v>25</v>
      </c>
      <c r="B74" s="324">
        <f>'6-x'!R334</f>
        <v>0</v>
      </c>
      <c r="C74" s="324">
        <f>'6-x'!S334</f>
        <v>340.16364514708312</v>
      </c>
      <c r="D74" s="324">
        <f>'6-x'!T334</f>
        <v>1076.1621986741932</v>
      </c>
      <c r="E74" s="324">
        <f>'6-x'!U334</f>
        <v>416.72423114855019</v>
      </c>
      <c r="F74" s="324">
        <f>'6-x'!V334</f>
        <v>288.71235630976622</v>
      </c>
      <c r="G74" s="324">
        <f>'6-x'!W334</f>
        <v>8.4628951992052226</v>
      </c>
      <c r="H74" s="279">
        <f>'6-x'!X334</f>
        <v>242.1885367186978</v>
      </c>
    </row>
    <row r="75" spans="1:10">
      <c r="A75" s="257" t="s">
        <v>26</v>
      </c>
      <c r="B75" s="324">
        <f>'6-x'!R335</f>
        <v>0</v>
      </c>
      <c r="C75" s="324">
        <f>'6-x'!S335</f>
        <v>344.50615976598203</v>
      </c>
      <c r="D75" s="324">
        <f>'6-x'!T335</f>
        <v>0</v>
      </c>
      <c r="E75" s="324">
        <f>'6-x'!U335</f>
        <v>348.47057739558136</v>
      </c>
      <c r="F75" s="324">
        <f>'6-x'!V335</f>
        <v>358.68682938430783</v>
      </c>
      <c r="G75" s="324">
        <f>'6-x'!W335</f>
        <v>7.802253033511791</v>
      </c>
      <c r="H75" s="279">
        <f>'6-x'!X335</f>
        <v>344.43040988981591</v>
      </c>
    </row>
    <row r="76" spans="1:10">
      <c r="A76" s="257" t="s">
        <v>27</v>
      </c>
      <c r="B76" s="324">
        <f>'6-x'!R336</f>
        <v>0</v>
      </c>
      <c r="C76" s="324">
        <f>'6-x'!S336</f>
        <v>356.66520069889907</v>
      </c>
      <c r="D76" s="324">
        <f>'6-x'!T336</f>
        <v>1310.4112884140084</v>
      </c>
      <c r="E76" s="324">
        <f>'6-x'!U336</f>
        <v>436.37912946794557</v>
      </c>
      <c r="F76" s="324">
        <f>'6-x'!V336</f>
        <v>232.92607749951009</v>
      </c>
      <c r="G76" s="324">
        <f>'6-x'!W336</f>
        <v>8.8772352334380358</v>
      </c>
      <c r="H76" s="279">
        <f>'6-x'!X336</f>
        <v>359.0073320261514</v>
      </c>
      <c r="J76" s="201"/>
    </row>
    <row r="77" spans="1:10">
      <c r="A77" s="257" t="s">
        <v>28</v>
      </c>
      <c r="B77" s="324">
        <f>'6-x'!R337</f>
        <v>0</v>
      </c>
      <c r="C77" s="324">
        <f>'6-x'!S337</f>
        <v>285.50586114387522</v>
      </c>
      <c r="D77" s="324">
        <f>'6-x'!T337</f>
        <v>0</v>
      </c>
      <c r="E77" s="324">
        <f>'6-x'!U337</f>
        <v>351.70151958507103</v>
      </c>
      <c r="F77" s="324">
        <f>'6-x'!V337</f>
        <v>230.10390261860317</v>
      </c>
      <c r="G77" s="324">
        <f>'6-x'!W337</f>
        <v>0</v>
      </c>
      <c r="H77" s="279">
        <f>'6-x'!X337</f>
        <v>267.1235241316719</v>
      </c>
    </row>
    <row r="78" spans="1:10">
      <c r="A78" s="257" t="s">
        <v>29</v>
      </c>
      <c r="B78" s="324">
        <f>'6-x'!R338</f>
        <v>413.28261720857091</v>
      </c>
      <c r="C78" s="324">
        <f>'6-x'!S338</f>
        <v>513.05362717417927</v>
      </c>
      <c r="D78" s="324">
        <f>'6-x'!T338</f>
        <v>1501.54310064677</v>
      </c>
      <c r="E78" s="324">
        <f>'6-x'!U338</f>
        <v>330.29652757970217</v>
      </c>
      <c r="F78" s="324">
        <f>'6-x'!V338</f>
        <v>474.78259880024621</v>
      </c>
      <c r="G78" s="324">
        <f>'6-x'!W338</f>
        <v>13.472956779803662</v>
      </c>
      <c r="H78" s="279">
        <f>'6-x'!X338</f>
        <v>584.26630577940387</v>
      </c>
    </row>
    <row r="79" spans="1:10">
      <c r="A79" s="257" t="s">
        <v>391</v>
      </c>
      <c r="B79" s="324">
        <f>'6-x'!R339</f>
        <v>0</v>
      </c>
      <c r="C79" s="324">
        <f>'6-x'!S339</f>
        <v>0</v>
      </c>
      <c r="D79" s="324">
        <f>'6-x'!T339</f>
        <v>0</v>
      </c>
      <c r="E79" s="324">
        <f>'6-x'!U339</f>
        <v>0</v>
      </c>
      <c r="F79" s="324">
        <f>'6-x'!V339</f>
        <v>0</v>
      </c>
      <c r="G79" s="324">
        <f>'6-x'!W339</f>
        <v>0</v>
      </c>
      <c r="H79" s="279">
        <f>'6-x'!X339</f>
        <v>0</v>
      </c>
    </row>
    <row r="80" spans="1:10">
      <c r="A80" s="368" t="s">
        <v>10</v>
      </c>
      <c r="B80" s="370">
        <f>'6-x'!R340</f>
        <v>927.18016449752702</v>
      </c>
      <c r="C80" s="370">
        <f>'6-x'!S340</f>
        <v>371.67292544404057</v>
      </c>
      <c r="D80" s="370">
        <f>'6-x'!T340</f>
        <v>1365.2042195168613</v>
      </c>
      <c r="E80" s="370">
        <f>'6-x'!U340</f>
        <v>509.28968891458578</v>
      </c>
      <c r="F80" s="370">
        <f>'6-x'!V340</f>
        <v>357.2468732120559</v>
      </c>
      <c r="G80" s="370">
        <f>'6-x'!W340</f>
        <v>9.4069552328060375</v>
      </c>
      <c r="H80" s="370">
        <f>'6-x'!X340</f>
        <v>406.3155710371671</v>
      </c>
      <c r="J80" s="201"/>
    </row>
    <row r="81" spans="1:8" ht="15.6">
      <c r="A81" s="360"/>
      <c r="B81" s="362"/>
      <c r="C81" s="362"/>
      <c r="D81" s="362"/>
      <c r="E81" s="362"/>
      <c r="F81" s="362"/>
      <c r="G81" s="362"/>
      <c r="H81" s="362"/>
    </row>
    <row r="82" spans="1:8" ht="15.6">
      <c r="A82" s="360"/>
      <c r="B82" s="360"/>
      <c r="C82" s="360"/>
      <c r="D82" s="360"/>
      <c r="E82" s="360"/>
      <c r="F82" s="360"/>
      <c r="G82" s="360"/>
      <c r="H82" s="360"/>
    </row>
    <row r="83" spans="1:8">
      <c r="B83" s="895" t="s">
        <v>11</v>
      </c>
      <c r="C83" s="895"/>
      <c r="D83" s="895"/>
      <c r="E83" s="895"/>
      <c r="F83" s="895"/>
      <c r="G83" s="895"/>
      <c r="H83" s="895"/>
    </row>
    <row r="84" spans="1:8" ht="28.8">
      <c r="B84" s="281" t="s">
        <v>5</v>
      </c>
      <c r="C84" s="281" t="s">
        <v>64</v>
      </c>
      <c r="D84" s="281" t="s">
        <v>7</v>
      </c>
      <c r="E84" s="281" t="s">
        <v>8</v>
      </c>
      <c r="F84" s="281" t="s">
        <v>267</v>
      </c>
      <c r="G84" s="281" t="s">
        <v>268</v>
      </c>
      <c r="H84" s="281" t="s">
        <v>10</v>
      </c>
    </row>
    <row r="85" spans="1:8">
      <c r="A85" s="283">
        <v>2019</v>
      </c>
      <c r="B85" s="894" t="s">
        <v>269</v>
      </c>
      <c r="C85" s="894"/>
      <c r="D85" s="894"/>
      <c r="E85" s="894"/>
      <c r="F85" s="894"/>
      <c r="G85" s="894"/>
      <c r="H85" s="894"/>
    </row>
    <row r="86" spans="1:8">
      <c r="A86" s="258" t="s">
        <v>286</v>
      </c>
      <c r="B86" s="279">
        <f>'6-x'!R418</f>
        <v>912.46231327241162</v>
      </c>
      <c r="C86" s="279">
        <f>'6-x'!S418</f>
        <v>391.14377859683987</v>
      </c>
      <c r="D86" s="279">
        <f>'6-x'!T418</f>
        <v>1503.626889865124</v>
      </c>
      <c r="E86" s="279">
        <f>'6-x'!U418</f>
        <v>715.6998725232246</v>
      </c>
      <c r="F86" s="279">
        <f>'6-x'!V418</f>
        <v>451.87034745435335</v>
      </c>
      <c r="G86" s="279">
        <f>'6-x'!W418</f>
        <v>10.624239771709188</v>
      </c>
      <c r="H86" s="279">
        <f>'6-x'!X418</f>
        <v>499.3427143174759</v>
      </c>
    </row>
    <row r="87" spans="1:8">
      <c r="A87" s="257" t="s">
        <v>18</v>
      </c>
      <c r="B87" s="324">
        <f>'6-x'!R419</f>
        <v>0</v>
      </c>
      <c r="C87" s="324">
        <f>'6-x'!S419</f>
        <v>584.52640655345806</v>
      </c>
      <c r="D87" s="324">
        <f>'6-x'!T419</f>
        <v>1503.626889865124</v>
      </c>
      <c r="E87" s="324">
        <f>'6-x'!U419</f>
        <v>634.04065092225142</v>
      </c>
      <c r="F87" s="324">
        <f>'6-x'!V419</f>
        <v>343.14143042139949</v>
      </c>
      <c r="G87" s="324">
        <f>'6-x'!W419</f>
        <v>10.610202863175491</v>
      </c>
      <c r="H87" s="324">
        <f>'6-x'!X419</f>
        <v>172.92800095261293</v>
      </c>
    </row>
    <row r="88" spans="1:8">
      <c r="A88" s="257" t="s">
        <v>19</v>
      </c>
      <c r="B88" s="324">
        <f>'6-x'!R420</f>
        <v>0</v>
      </c>
      <c r="C88" s="324">
        <f>'6-x'!S420</f>
        <v>424.56413169146646</v>
      </c>
      <c r="D88" s="324">
        <f>'6-x'!T420</f>
        <v>0</v>
      </c>
      <c r="E88" s="324">
        <f>'6-x'!U420</f>
        <v>1057.7826773353602</v>
      </c>
      <c r="F88" s="324">
        <f>'6-x'!V420</f>
        <v>519.62548713005015</v>
      </c>
      <c r="G88" s="324">
        <f>'6-x'!W420</f>
        <v>12.135292165857743</v>
      </c>
      <c r="H88" s="324">
        <f>'6-x'!X420</f>
        <v>417.69368279607943</v>
      </c>
    </row>
    <row r="89" spans="1:8">
      <c r="A89" s="257" t="s">
        <v>20</v>
      </c>
      <c r="B89" s="324">
        <f>'6-x'!R421</f>
        <v>912.46231327241162</v>
      </c>
      <c r="C89" s="324">
        <f>'6-x'!S421</f>
        <v>546.64364398686371</v>
      </c>
      <c r="D89" s="324">
        <f>'6-x'!T421</f>
        <v>0</v>
      </c>
      <c r="E89" s="324">
        <f>'6-x'!U421</f>
        <v>728.5847032389612</v>
      </c>
      <c r="F89" s="324">
        <f>'6-x'!V421</f>
        <v>546.88660769932517</v>
      </c>
      <c r="G89" s="324">
        <f>'6-x'!W421</f>
        <v>9.7135962126534316</v>
      </c>
      <c r="H89" s="324">
        <f>'6-x'!X421</f>
        <v>837.21449583997889</v>
      </c>
    </row>
    <row r="90" spans="1:8">
      <c r="A90" s="257" t="s">
        <v>21</v>
      </c>
      <c r="B90" s="324">
        <f>'6-x'!R422</f>
        <v>0</v>
      </c>
      <c r="C90" s="324">
        <f>'6-x'!S422</f>
        <v>388.87579744427848</v>
      </c>
      <c r="D90" s="324">
        <f>'6-x'!T422</f>
        <v>0</v>
      </c>
      <c r="E90" s="324">
        <f>'6-x'!U422</f>
        <v>547.86036827262512</v>
      </c>
      <c r="F90" s="324">
        <f>'6-x'!V422</f>
        <v>305.69701336040384</v>
      </c>
      <c r="G90" s="324">
        <f>'6-x'!W422</f>
        <v>9.647101461059691</v>
      </c>
      <c r="H90" s="324">
        <f>'6-x'!X422</f>
        <v>386.3898423195256</v>
      </c>
    </row>
    <row r="91" spans="1:8">
      <c r="A91" s="257" t="s">
        <v>23</v>
      </c>
      <c r="B91" s="324">
        <f>'6-x'!R423</f>
        <v>0</v>
      </c>
      <c r="C91" s="324">
        <f>'6-x'!S423</f>
        <v>0</v>
      </c>
      <c r="D91" s="324">
        <f>'6-x'!T423</f>
        <v>0</v>
      </c>
      <c r="E91" s="324">
        <f>'6-x'!U423</f>
        <v>0</v>
      </c>
      <c r="F91" s="324">
        <f>'6-x'!V423</f>
        <v>0</v>
      </c>
      <c r="G91" s="324">
        <f>'6-x'!W423</f>
        <v>0</v>
      </c>
      <c r="H91" s="324">
        <f>'6-x'!X423</f>
        <v>0</v>
      </c>
    </row>
    <row r="92" spans="1:8">
      <c r="A92" s="257" t="s">
        <v>390</v>
      </c>
      <c r="B92" s="324">
        <f>'6-x'!R424</f>
        <v>0</v>
      </c>
      <c r="C92" s="324">
        <f>'6-x'!S424</f>
        <v>0</v>
      </c>
      <c r="D92" s="324">
        <f>'6-x'!T424</f>
        <v>0</v>
      </c>
      <c r="E92" s="324">
        <f>'6-x'!U424</f>
        <v>0</v>
      </c>
      <c r="F92" s="324">
        <f>'6-x'!V424</f>
        <v>0</v>
      </c>
      <c r="G92" s="324">
        <f>'6-x'!W424</f>
        <v>0</v>
      </c>
      <c r="H92" s="324">
        <f>'6-x'!X424</f>
        <v>0</v>
      </c>
    </row>
    <row r="93" spans="1:8">
      <c r="A93" s="258" t="s">
        <v>287</v>
      </c>
      <c r="B93" s="279">
        <f>'6-x'!R425</f>
        <v>423.34435860260521</v>
      </c>
      <c r="C93" s="279">
        <f>'6-x'!S425</f>
        <v>354.60013543904597</v>
      </c>
      <c r="D93" s="279">
        <f>'6-x'!T425</f>
        <v>1398.3060190919557</v>
      </c>
      <c r="E93" s="279">
        <f>'6-x'!U425</f>
        <v>416.85087204587705</v>
      </c>
      <c r="F93" s="279">
        <f>'6-x'!V425</f>
        <v>326.75911253622621</v>
      </c>
      <c r="G93" s="279">
        <f>'6-x'!W425</f>
        <v>7.8813806546921858</v>
      </c>
      <c r="H93" s="279">
        <f>'6-x'!X425</f>
        <v>358.62748120744351</v>
      </c>
    </row>
    <row r="94" spans="1:8">
      <c r="A94" s="257" t="s">
        <v>25</v>
      </c>
      <c r="B94" s="324">
        <f>'6-x'!R426</f>
        <v>0</v>
      </c>
      <c r="C94" s="324">
        <f>'6-x'!S426</f>
        <v>330.26146207066057</v>
      </c>
      <c r="D94" s="324">
        <f>'6-x'!T426</f>
        <v>1109.9433389746557</v>
      </c>
      <c r="E94" s="324">
        <f>'6-x'!U426</f>
        <v>448.63260494234868</v>
      </c>
      <c r="F94" s="324">
        <f>'6-x'!V426</f>
        <v>296.18732013856368</v>
      </c>
      <c r="G94" s="324">
        <f>'6-x'!W426</f>
        <v>7.8796280638583154</v>
      </c>
      <c r="H94" s="324">
        <f>'6-x'!X426</f>
        <v>237.12215762311956</v>
      </c>
    </row>
    <row r="95" spans="1:8">
      <c r="A95" s="257" t="s">
        <v>26</v>
      </c>
      <c r="B95" s="324">
        <f>'6-x'!R427</f>
        <v>0</v>
      </c>
      <c r="C95" s="324">
        <f>'6-x'!S427</f>
        <v>340.13638950798935</v>
      </c>
      <c r="D95" s="324">
        <f>'6-x'!T427</f>
        <v>0</v>
      </c>
      <c r="E95" s="324">
        <f>'6-x'!U427</f>
        <v>370.54845133045893</v>
      </c>
      <c r="F95" s="324">
        <f>'6-x'!V427</f>
        <v>366.75716858896931</v>
      </c>
      <c r="G95" s="324">
        <f>'6-x'!W427</f>
        <v>6.8307269822667225</v>
      </c>
      <c r="H95" s="324">
        <f>'6-x'!X427</f>
        <v>342.32859772583237</v>
      </c>
    </row>
    <row r="96" spans="1:8">
      <c r="A96" s="257" t="s">
        <v>27</v>
      </c>
      <c r="B96" s="324">
        <f>'6-x'!R428</f>
        <v>0</v>
      </c>
      <c r="C96" s="324">
        <f>'6-x'!S428</f>
        <v>358.03830474525193</v>
      </c>
      <c r="D96" s="324">
        <f>'6-x'!T428</f>
        <v>1363.5873097141159</v>
      </c>
      <c r="E96" s="324">
        <f>'6-x'!U428</f>
        <v>434.11310080029205</v>
      </c>
      <c r="F96" s="324">
        <f>'6-x'!V428</f>
        <v>249.31245729924314</v>
      </c>
      <c r="G96" s="324">
        <f>'6-x'!W428</f>
        <v>8.0855472946002234</v>
      </c>
      <c r="H96" s="324">
        <f>'6-x'!X428</f>
        <v>370.139961530574</v>
      </c>
    </row>
    <row r="97" spans="1:8">
      <c r="A97" s="257" t="s">
        <v>28</v>
      </c>
      <c r="B97" s="324">
        <f>'6-x'!R429</f>
        <v>478.66875450356019</v>
      </c>
      <c r="C97" s="324">
        <f>'6-x'!S429</f>
        <v>286.48839190987019</v>
      </c>
      <c r="D97" s="324">
        <f>'6-x'!T429</f>
        <v>0</v>
      </c>
      <c r="E97" s="324">
        <f>'6-x'!U429</f>
        <v>321.70403647469237</v>
      </c>
      <c r="F97" s="324">
        <f>'6-x'!V429</f>
        <v>238.77254731170362</v>
      </c>
      <c r="G97" s="324">
        <f>'6-x'!W429</f>
        <v>0</v>
      </c>
      <c r="H97" s="324">
        <f>'6-x'!X429</f>
        <v>271.52233627440518</v>
      </c>
    </row>
    <row r="98" spans="1:8">
      <c r="A98" s="257" t="s">
        <v>29</v>
      </c>
      <c r="B98" s="324">
        <f>'6-x'!R430</f>
        <v>418.83516019061517</v>
      </c>
      <c r="C98" s="324">
        <f>'6-x'!S430</f>
        <v>524.29512399711984</v>
      </c>
      <c r="D98" s="324">
        <f>'6-x'!T430</f>
        <v>1525.5446736163572</v>
      </c>
      <c r="E98" s="324">
        <f>'6-x'!U430</f>
        <v>480.48183983460194</v>
      </c>
      <c r="F98" s="324">
        <f>'6-x'!V430</f>
        <v>483.44902916529981</v>
      </c>
      <c r="G98" s="324">
        <f>'6-x'!W430</f>
        <v>10.878326861537348</v>
      </c>
      <c r="H98" s="324">
        <f>'6-x'!X430</f>
        <v>625.00496033326942</v>
      </c>
    </row>
    <row r="99" spans="1:8">
      <c r="A99" s="257" t="s">
        <v>391</v>
      </c>
      <c r="B99" s="324">
        <f>'6-x'!R431</f>
        <v>0</v>
      </c>
      <c r="C99" s="324">
        <f>'6-x'!S431</f>
        <v>0</v>
      </c>
      <c r="D99" s="324">
        <f>'6-x'!T431</f>
        <v>0</v>
      </c>
      <c r="E99" s="324">
        <f>'6-x'!U431</f>
        <v>0</v>
      </c>
      <c r="F99" s="324">
        <f>'6-x'!V431</f>
        <v>0</v>
      </c>
      <c r="G99" s="324">
        <f>'6-x'!W431</f>
        <v>0</v>
      </c>
      <c r="H99" s="324">
        <f>'6-x'!X431</f>
        <v>0</v>
      </c>
    </row>
    <row r="100" spans="1:8">
      <c r="A100" s="368" t="s">
        <v>10</v>
      </c>
      <c r="B100" s="370">
        <f>'6-x'!R432</f>
        <v>908.87948803676534</v>
      </c>
      <c r="C100" s="370">
        <f>'6-x'!S432</f>
        <v>369.4705440904487</v>
      </c>
      <c r="D100" s="370">
        <f>'6-x'!T432</f>
        <v>1399.564594691961</v>
      </c>
      <c r="E100" s="370">
        <f>'6-x'!U432</f>
        <v>522.76051249489819</v>
      </c>
      <c r="F100" s="370">
        <f>'6-x'!V432</f>
        <v>371.62489256225666</v>
      </c>
      <c r="G100" s="370">
        <f>'6-x'!W432</f>
        <v>8.8447312997608893</v>
      </c>
      <c r="H100" s="370">
        <f>'6-x'!X432</f>
        <v>421.97488079477682</v>
      </c>
    </row>
    <row r="101" spans="1:8" ht="15.6">
      <c r="A101" s="360"/>
      <c r="B101" s="360"/>
      <c r="C101" s="360"/>
      <c r="D101" s="360"/>
      <c r="E101" s="360"/>
      <c r="F101" s="360"/>
      <c r="G101" s="360"/>
      <c r="H101" s="360"/>
    </row>
    <row r="102" spans="1:8" ht="15.6">
      <c r="A102" s="360"/>
      <c r="B102" s="56"/>
      <c r="C102" s="56"/>
      <c r="D102" s="56"/>
      <c r="E102" s="56"/>
      <c r="F102" s="56"/>
      <c r="G102" s="56"/>
      <c r="H102" s="56"/>
    </row>
    <row r="103" spans="1:8">
      <c r="B103" s="895" t="s">
        <v>11</v>
      </c>
      <c r="C103" s="895"/>
      <c r="D103" s="895"/>
      <c r="E103" s="895"/>
      <c r="F103" s="895"/>
      <c r="G103" s="895"/>
      <c r="H103" s="895"/>
    </row>
    <row r="104" spans="1:8" ht="28.8">
      <c r="B104" s="281" t="s">
        <v>5</v>
      </c>
      <c r="C104" s="281" t="s">
        <v>64</v>
      </c>
      <c r="D104" s="281" t="s">
        <v>7</v>
      </c>
      <c r="E104" s="281" t="s">
        <v>8</v>
      </c>
      <c r="F104" s="281" t="s">
        <v>267</v>
      </c>
      <c r="G104" s="281" t="s">
        <v>268</v>
      </c>
      <c r="H104" s="281" t="s">
        <v>10</v>
      </c>
    </row>
    <row r="105" spans="1:8">
      <c r="A105" s="283">
        <v>2018</v>
      </c>
      <c r="B105" s="894" t="s">
        <v>269</v>
      </c>
      <c r="C105" s="894"/>
      <c r="D105" s="894"/>
      <c r="E105" s="894"/>
      <c r="F105" s="894"/>
      <c r="G105" s="894"/>
      <c r="H105" s="894"/>
    </row>
    <row r="106" spans="1:8">
      <c r="A106" s="258" t="s">
        <v>286</v>
      </c>
      <c r="B106" s="279">
        <f>'6-x'!R510</f>
        <v>886.69849947404634</v>
      </c>
      <c r="C106" s="279">
        <f>'6-x'!S510</f>
        <v>393.48107956024188</v>
      </c>
      <c r="D106" s="279">
        <f>'6-x'!T510</f>
        <v>1621.2639350249053</v>
      </c>
      <c r="E106" s="279">
        <f>'6-x'!U510</f>
        <v>725.78170149273865</v>
      </c>
      <c r="F106" s="279">
        <f>'6-x'!V510</f>
        <v>473.64039044914034</v>
      </c>
      <c r="G106" s="279">
        <f>'6-x'!W510</f>
        <v>10.854150439985656</v>
      </c>
      <c r="H106" s="279">
        <f>'6-x'!X510</f>
        <v>552.21390780097295</v>
      </c>
    </row>
    <row r="107" spans="1:8">
      <c r="A107" s="257" t="s">
        <v>18</v>
      </c>
      <c r="B107" s="324">
        <f>'6-x'!R511</f>
        <v>0</v>
      </c>
      <c r="C107" s="324">
        <f>'6-x'!S511</f>
        <v>567.55588697229734</v>
      </c>
      <c r="D107" s="324">
        <f>'6-x'!T511</f>
        <v>1621.2639350249053</v>
      </c>
      <c r="E107" s="324">
        <f>'6-x'!U511</f>
        <v>651.36325183509007</v>
      </c>
      <c r="F107" s="324">
        <f>'6-x'!V511</f>
        <v>364.73234731731617</v>
      </c>
      <c r="G107" s="324">
        <f>'6-x'!W511</f>
        <v>10.842676267549736</v>
      </c>
      <c r="H107" s="324">
        <f>'6-x'!X511</f>
        <v>176.76371189621577</v>
      </c>
    </row>
    <row r="108" spans="1:8">
      <c r="A108" s="257" t="s">
        <v>19</v>
      </c>
      <c r="B108" s="324">
        <f>'6-x'!R512</f>
        <v>0</v>
      </c>
      <c r="C108" s="324">
        <f>'6-x'!S512</f>
        <v>648.56921327369196</v>
      </c>
      <c r="D108" s="324">
        <f>'6-x'!T512</f>
        <v>0</v>
      </c>
      <c r="E108" s="324">
        <f>'6-x'!U512</f>
        <v>1048.0367627070889</v>
      </c>
      <c r="F108" s="324">
        <f>'6-x'!V512</f>
        <v>562.39185361110174</v>
      </c>
      <c r="G108" s="324">
        <f>'6-x'!W512</f>
        <v>12.555319966485468</v>
      </c>
      <c r="H108" s="324">
        <f>'6-x'!X512</f>
        <v>595.08294441348596</v>
      </c>
    </row>
    <row r="109" spans="1:8">
      <c r="A109" s="257" t="s">
        <v>20</v>
      </c>
      <c r="B109" s="324">
        <f>'6-x'!R513</f>
        <v>886.69849947404634</v>
      </c>
      <c r="C109" s="324">
        <f>'6-x'!S513</f>
        <v>518.1730313967148</v>
      </c>
      <c r="D109" s="324">
        <f>'6-x'!T513</f>
        <v>0</v>
      </c>
      <c r="E109" s="324">
        <f>'6-x'!U513</f>
        <v>738.04451279618468</v>
      </c>
      <c r="F109" s="324">
        <f>'6-x'!V513</f>
        <v>563.02120886357613</v>
      </c>
      <c r="G109" s="324">
        <f>'6-x'!W513</f>
        <v>10.091730811474937</v>
      </c>
      <c r="H109" s="324">
        <f>'6-x'!X513</f>
        <v>838.37006804884027</v>
      </c>
    </row>
    <row r="110" spans="1:8">
      <c r="A110" s="257" t="s">
        <v>21</v>
      </c>
      <c r="B110" s="324">
        <f>'6-x'!R514</f>
        <v>0</v>
      </c>
      <c r="C110" s="324">
        <f>'6-x'!S514</f>
        <v>390.55246669494602</v>
      </c>
      <c r="D110" s="324">
        <f>'6-x'!T514</f>
        <v>0</v>
      </c>
      <c r="E110" s="324">
        <f>'6-x'!U514</f>
        <v>555.60045141442811</v>
      </c>
      <c r="F110" s="324">
        <f>'6-x'!V514</f>
        <v>324.24382607479811</v>
      </c>
      <c r="G110" s="324">
        <f>'6-x'!W514</f>
        <v>9.9785898417265901</v>
      </c>
      <c r="H110" s="324">
        <f>'6-x'!X514</f>
        <v>388.23927449666189</v>
      </c>
    </row>
    <row r="111" spans="1:8">
      <c r="A111" s="257" t="s">
        <v>23</v>
      </c>
      <c r="B111" s="324">
        <f>'6-x'!R515</f>
        <v>0</v>
      </c>
      <c r="C111" s="324">
        <f>'6-x'!S515</f>
        <v>0</v>
      </c>
      <c r="D111" s="324">
        <f>'6-x'!T515</f>
        <v>0</v>
      </c>
      <c r="E111" s="324">
        <f>'6-x'!U515</f>
        <v>0</v>
      </c>
      <c r="F111" s="324">
        <f>'6-x'!V515</f>
        <v>0</v>
      </c>
      <c r="G111" s="324">
        <f>'6-x'!W515</f>
        <v>0</v>
      </c>
      <c r="H111" s="324">
        <f>'6-x'!X515</f>
        <v>0</v>
      </c>
    </row>
    <row r="112" spans="1:8">
      <c r="A112" s="257" t="s">
        <v>390</v>
      </c>
      <c r="B112" s="324">
        <f>'6-x'!R516</f>
        <v>0</v>
      </c>
      <c r="C112" s="324">
        <f>'6-x'!S516</f>
        <v>0</v>
      </c>
      <c r="D112" s="324">
        <f>'6-x'!T516</f>
        <v>0</v>
      </c>
      <c r="E112" s="324">
        <f>'6-x'!U516</f>
        <v>0</v>
      </c>
      <c r="F112" s="324">
        <f>'6-x'!V516</f>
        <v>0</v>
      </c>
      <c r="G112" s="324">
        <f>'6-x'!W516</f>
        <v>0</v>
      </c>
      <c r="H112" s="324">
        <f>'6-x'!X516</f>
        <v>0</v>
      </c>
    </row>
    <row r="113" spans="1:16">
      <c r="A113" s="258" t="s">
        <v>287</v>
      </c>
      <c r="B113" s="279">
        <f>'6-x'!R517</f>
        <v>420.0078492660092</v>
      </c>
      <c r="C113" s="279">
        <f>'6-x'!S517</f>
        <v>355.21118064968596</v>
      </c>
      <c r="D113" s="279">
        <f>'6-x'!T517</f>
        <v>1635.4171110016962</v>
      </c>
      <c r="E113" s="279">
        <f>'6-x'!U517</f>
        <v>420.11093192006189</v>
      </c>
      <c r="F113" s="279">
        <f>'6-x'!V517</f>
        <v>337.07147839194192</v>
      </c>
      <c r="G113" s="279">
        <f>'6-x'!W517</f>
        <v>7.8198070152711878</v>
      </c>
      <c r="H113" s="279">
        <f>'6-x'!X517</f>
        <v>366.73325337722338</v>
      </c>
    </row>
    <row r="114" spans="1:16">
      <c r="A114" s="257" t="s">
        <v>25</v>
      </c>
      <c r="B114" s="324">
        <f>'6-x'!R518</f>
        <v>0</v>
      </c>
      <c r="C114" s="324">
        <f>'6-x'!S518</f>
        <v>327.86977882149017</v>
      </c>
      <c r="D114" s="324">
        <f>'6-x'!T518</f>
        <v>1247.629855675825</v>
      </c>
      <c r="E114" s="324">
        <f>'6-x'!U518</f>
        <v>438.96366477326796</v>
      </c>
      <c r="F114" s="324">
        <f>'6-x'!V518</f>
        <v>312.6636894292696</v>
      </c>
      <c r="G114" s="324">
        <f>'6-x'!W518</f>
        <v>7.814491488991087</v>
      </c>
      <c r="H114" s="324">
        <f>'6-x'!X518</f>
        <v>234.1600805113348</v>
      </c>
    </row>
    <row r="115" spans="1:16">
      <c r="A115" s="257" t="s">
        <v>26</v>
      </c>
      <c r="B115" s="324">
        <f>'6-x'!R519</f>
        <v>0</v>
      </c>
      <c r="C115" s="324">
        <f>'6-x'!S519</f>
        <v>350.71079515914249</v>
      </c>
      <c r="D115" s="324">
        <f>'6-x'!T519</f>
        <v>0</v>
      </c>
      <c r="E115" s="324">
        <f>'6-x'!U519</f>
        <v>336.89800487693606</v>
      </c>
      <c r="F115" s="324">
        <f>'6-x'!V519</f>
        <v>390.87156880341865</v>
      </c>
      <c r="G115" s="324">
        <f>'6-x'!W519</f>
        <v>7.1988715065368574</v>
      </c>
      <c r="H115" s="324">
        <f>'6-x'!X519</f>
        <v>349.6327036540518</v>
      </c>
    </row>
    <row r="116" spans="1:16">
      <c r="A116" s="257" t="s">
        <v>27</v>
      </c>
      <c r="B116" s="324">
        <f>'6-x'!R520</f>
        <v>414.71716179252127</v>
      </c>
      <c r="C116" s="324">
        <f>'6-x'!S520</f>
        <v>358.22809167533188</v>
      </c>
      <c r="D116" s="324">
        <f>'6-x'!T520</f>
        <v>1575.2455263888271</v>
      </c>
      <c r="E116" s="324">
        <f>'6-x'!U520</f>
        <v>441.40348134449499</v>
      </c>
      <c r="F116" s="324">
        <f>'6-x'!V520</f>
        <v>262.14744116399305</v>
      </c>
      <c r="G116" s="324">
        <f>'6-x'!W520</f>
        <v>8.2337786121761312</v>
      </c>
      <c r="H116" s="324">
        <f>'6-x'!X520</f>
        <v>372.9409051970419</v>
      </c>
    </row>
    <row r="117" spans="1:16">
      <c r="A117" s="257" t="s">
        <v>28</v>
      </c>
      <c r="B117" s="324">
        <f>'6-x'!R521</f>
        <v>473.96247062002436</v>
      </c>
      <c r="C117" s="324">
        <f>'6-x'!S521</f>
        <v>288.31723407477062</v>
      </c>
      <c r="D117" s="324">
        <f>'6-x'!T521</f>
        <v>0</v>
      </c>
      <c r="E117" s="324">
        <f>'6-x'!U521</f>
        <v>322.32687813210782</v>
      </c>
      <c r="F117" s="324">
        <f>'6-x'!V521</f>
        <v>255.89584565608098</v>
      </c>
      <c r="G117" s="324">
        <f>'6-x'!W521</f>
        <v>0</v>
      </c>
      <c r="H117" s="324">
        <f>'6-x'!X521</f>
        <v>279.16896330232089</v>
      </c>
    </row>
    <row r="118" spans="1:16">
      <c r="A118" s="257" t="s">
        <v>29</v>
      </c>
      <c r="B118" s="324">
        <f>'6-x'!R522</f>
        <v>0</v>
      </c>
      <c r="C118" s="324">
        <f>'6-x'!S522</f>
        <v>549.57220069125958</v>
      </c>
      <c r="D118" s="324">
        <f>'6-x'!T522</f>
        <v>1788.1691632703732</v>
      </c>
      <c r="E118" s="324">
        <f>'6-x'!U522</f>
        <v>485.79458840432056</v>
      </c>
      <c r="F118" s="324">
        <f>'6-x'!V522</f>
        <v>508.81274311711667</v>
      </c>
      <c r="G118" s="324">
        <f>'6-x'!W522</f>
        <v>10.812727187322233</v>
      </c>
      <c r="H118" s="324">
        <f>'6-x'!X522</f>
        <v>727.72813560753661</v>
      </c>
    </row>
    <row r="119" spans="1:16">
      <c r="A119" s="257" t="s">
        <v>391</v>
      </c>
      <c r="B119" s="324">
        <f>'6-x'!R523</f>
        <v>0</v>
      </c>
      <c r="C119" s="324">
        <f>'6-x'!S523</f>
        <v>0</v>
      </c>
      <c r="D119" s="324">
        <f>'6-x'!T523</f>
        <v>0</v>
      </c>
      <c r="E119" s="324">
        <f>'6-x'!U523</f>
        <v>0</v>
      </c>
      <c r="F119" s="324">
        <f>'6-x'!V523</f>
        <v>0</v>
      </c>
      <c r="G119" s="324">
        <f>'6-x'!W523</f>
        <v>0</v>
      </c>
      <c r="H119" s="324">
        <f>'6-x'!X523</f>
        <v>0</v>
      </c>
    </row>
    <row r="120" spans="1:16">
      <c r="A120" s="368" t="s">
        <v>10</v>
      </c>
      <c r="B120" s="370">
        <f>'6-x'!R524</f>
        <v>884.45535712721107</v>
      </c>
      <c r="C120" s="370">
        <f>'6-x'!S524</f>
        <v>369.32797179917577</v>
      </c>
      <c r="D120" s="370">
        <f>'6-x'!T524</f>
        <v>1635.2611008482413</v>
      </c>
      <c r="E120" s="370">
        <f>'6-x'!U524</f>
        <v>527.26922681090946</v>
      </c>
      <c r="F120" s="370">
        <f>'6-x'!V524</f>
        <v>384.80015080775547</v>
      </c>
      <c r="G120" s="370">
        <f>'6-x'!W524</f>
        <v>8.8932671712576035</v>
      </c>
      <c r="H120" s="370">
        <f>'6-x'!X524</f>
        <v>450.92375487230095</v>
      </c>
    </row>
    <row r="121" spans="1:16" ht="15.6">
      <c r="A121" s="360"/>
      <c r="B121" s="360"/>
      <c r="C121" s="360"/>
      <c r="D121" s="360"/>
      <c r="E121" s="360"/>
      <c r="F121" s="360"/>
      <c r="G121" s="360"/>
      <c r="H121" s="360"/>
    </row>
    <row r="122" spans="1:16" ht="15.6">
      <c r="A122" s="360"/>
      <c r="B122" s="360"/>
      <c r="C122" s="360"/>
      <c r="D122" s="360"/>
      <c r="E122" s="360"/>
      <c r="F122" s="360"/>
      <c r="G122" s="360"/>
      <c r="H122" s="360"/>
    </row>
    <row r="123" spans="1:16">
      <c r="B123" s="895" t="s">
        <v>11</v>
      </c>
      <c r="C123" s="895"/>
      <c r="D123" s="895"/>
      <c r="E123" s="895"/>
      <c r="F123" s="895"/>
      <c r="G123" s="895"/>
      <c r="H123" s="895"/>
    </row>
    <row r="124" spans="1:16" ht="28.8">
      <c r="B124" s="281" t="s">
        <v>5</v>
      </c>
      <c r="C124" s="281" t="s">
        <v>64</v>
      </c>
      <c r="D124" s="281" t="s">
        <v>7</v>
      </c>
      <c r="E124" s="281" t="s">
        <v>8</v>
      </c>
      <c r="F124" s="281" t="s">
        <v>267</v>
      </c>
      <c r="G124" s="281" t="s">
        <v>268</v>
      </c>
      <c r="H124" s="281" t="s">
        <v>10</v>
      </c>
    </row>
    <row r="125" spans="1:16">
      <c r="A125" s="283">
        <v>2017</v>
      </c>
      <c r="B125" s="894" t="s">
        <v>269</v>
      </c>
      <c r="C125" s="894"/>
      <c r="D125" s="894"/>
      <c r="E125" s="894"/>
      <c r="F125" s="894"/>
      <c r="G125" s="894"/>
      <c r="H125" s="894"/>
    </row>
    <row r="126" spans="1:16">
      <c r="A126" s="258" t="s">
        <v>286</v>
      </c>
      <c r="B126" s="279">
        <f>'6-x'!R598</f>
        <v>871.96634831648953</v>
      </c>
      <c r="C126" s="279">
        <f>'6-x'!S598</f>
        <v>393.57208005536916</v>
      </c>
      <c r="D126" s="279">
        <f>'6-x'!T598</f>
        <v>1631.2480362014308</v>
      </c>
      <c r="E126" s="279">
        <f>'6-x'!U598</f>
        <v>718.55766398931439</v>
      </c>
      <c r="F126" s="279">
        <f>'6-x'!V598</f>
        <v>453.0629246879995</v>
      </c>
      <c r="G126" s="279">
        <f>'6-x'!W598</f>
        <v>10.546900468208419</v>
      </c>
      <c r="H126" s="279">
        <f>'6-x'!X598</f>
        <v>550.5869245786306</v>
      </c>
      <c r="I126" s="56"/>
      <c r="J126" s="56"/>
      <c r="K126" s="56"/>
      <c r="L126" s="56"/>
      <c r="M126" s="56"/>
      <c r="N126" s="56"/>
      <c r="O126" s="56"/>
      <c r="P126" s="56"/>
    </row>
    <row r="127" spans="1:16">
      <c r="A127" s="257" t="s">
        <v>18</v>
      </c>
      <c r="B127" s="324">
        <f>'6-x'!R599</f>
        <v>0</v>
      </c>
      <c r="C127" s="324">
        <f>'6-x'!S599</f>
        <v>566.75924855180062</v>
      </c>
      <c r="D127" s="324">
        <f>'6-x'!T599</f>
        <v>1631.2480362014308</v>
      </c>
      <c r="E127" s="324">
        <f>'6-x'!U599</f>
        <v>668.69784472001572</v>
      </c>
      <c r="F127" s="324">
        <f>'6-x'!V599</f>
        <v>358.57768701623343</v>
      </c>
      <c r="G127" s="324">
        <f>'6-x'!W599</f>
        <v>10.533358983966332</v>
      </c>
      <c r="H127" s="279">
        <f>'6-x'!X599</f>
        <v>175.4549446307804</v>
      </c>
      <c r="I127" s="56"/>
      <c r="J127" s="56"/>
      <c r="K127" s="56"/>
      <c r="L127" s="56"/>
      <c r="M127" s="56"/>
      <c r="N127" s="56"/>
      <c r="O127" s="56"/>
      <c r="P127" s="56"/>
    </row>
    <row r="128" spans="1:16">
      <c r="A128" s="257" t="s">
        <v>19</v>
      </c>
      <c r="B128" s="324">
        <f>'6-x'!R600</f>
        <v>0</v>
      </c>
      <c r="C128" s="324">
        <f>'6-x'!S600</f>
        <v>688.36920907703586</v>
      </c>
      <c r="D128" s="324">
        <f>'6-x'!T600</f>
        <v>0</v>
      </c>
      <c r="E128" s="324">
        <f>'6-x'!U600</f>
        <v>1078.1531220819793</v>
      </c>
      <c r="F128" s="324">
        <f>'6-x'!V600</f>
        <v>546.40215898426948</v>
      </c>
      <c r="G128" s="324">
        <f>'6-x'!W600</f>
        <v>12.116041712279481</v>
      </c>
      <c r="H128" s="279">
        <f>'6-x'!X600</f>
        <v>653.18345516796649</v>
      </c>
      <c r="I128" s="56"/>
      <c r="J128" s="56"/>
      <c r="K128" s="56"/>
      <c r="L128" s="56"/>
      <c r="M128" s="56"/>
      <c r="N128" s="56"/>
      <c r="O128" s="56"/>
      <c r="P128" s="56"/>
    </row>
    <row r="129" spans="1:16">
      <c r="A129" s="257" t="s">
        <v>20</v>
      </c>
      <c r="B129" s="324">
        <f>'6-x'!R601</f>
        <v>871.96634831648953</v>
      </c>
      <c r="C129" s="324">
        <f>'6-x'!S601</f>
        <v>541.41659106513964</v>
      </c>
      <c r="D129" s="324">
        <f>'6-x'!T601</f>
        <v>0</v>
      </c>
      <c r="E129" s="324">
        <f>'6-x'!U601</f>
        <v>723.63158206810078</v>
      </c>
      <c r="F129" s="324">
        <f>'6-x'!V601</f>
        <v>543.27242854896576</v>
      </c>
      <c r="G129" s="324">
        <f>'6-x'!W601</f>
        <v>9.9375759122384277</v>
      </c>
      <c r="H129" s="279">
        <f>'6-x'!X601</f>
        <v>825.03435321224697</v>
      </c>
      <c r="I129" s="56"/>
      <c r="J129" s="56"/>
      <c r="K129" s="56"/>
      <c r="L129" s="56"/>
      <c r="M129" s="56"/>
      <c r="N129" s="56"/>
      <c r="O129" s="56"/>
      <c r="P129" s="56"/>
    </row>
    <row r="130" spans="1:16">
      <c r="A130" s="257" t="s">
        <v>21</v>
      </c>
      <c r="B130" s="324">
        <f>'6-x'!R602</f>
        <v>0</v>
      </c>
      <c r="C130" s="324">
        <f>'6-x'!S602</f>
        <v>388.59224749140253</v>
      </c>
      <c r="D130" s="324">
        <f>'6-x'!T602</f>
        <v>0</v>
      </c>
      <c r="E130" s="324">
        <f>'6-x'!U602</f>
        <v>615.43934205598953</v>
      </c>
      <c r="F130" s="324">
        <f>'6-x'!V602</f>
        <v>310.94075103992134</v>
      </c>
      <c r="G130" s="324">
        <f>'6-x'!W602</f>
        <v>9.984724212878767</v>
      </c>
      <c r="H130" s="279">
        <f>'6-x'!X602</f>
        <v>385.70660559141902</v>
      </c>
      <c r="I130" s="56"/>
      <c r="J130" s="56"/>
      <c r="K130" s="56"/>
      <c r="L130" s="56"/>
      <c r="M130" s="56"/>
      <c r="N130" s="56"/>
      <c r="O130" s="56"/>
      <c r="P130" s="56"/>
    </row>
    <row r="131" spans="1:16">
      <c r="A131" s="257" t="s">
        <v>23</v>
      </c>
      <c r="B131" s="324">
        <f>'6-x'!R603</f>
        <v>0</v>
      </c>
      <c r="C131" s="324">
        <f>'6-x'!S603</f>
        <v>0</v>
      </c>
      <c r="D131" s="324">
        <f>'6-x'!T603</f>
        <v>0</v>
      </c>
      <c r="E131" s="324">
        <f>'6-x'!U603</f>
        <v>0</v>
      </c>
      <c r="F131" s="324">
        <f>'6-x'!V603</f>
        <v>0</v>
      </c>
      <c r="G131" s="324">
        <f>'6-x'!W603</f>
        <v>0</v>
      </c>
      <c r="H131" s="279">
        <f>'6-x'!X603</f>
        <v>0</v>
      </c>
      <c r="I131" s="56"/>
      <c r="J131" s="56"/>
      <c r="K131" s="56"/>
      <c r="L131" s="56"/>
      <c r="M131" s="56"/>
      <c r="N131" s="56"/>
      <c r="O131" s="56"/>
      <c r="P131" s="56"/>
    </row>
    <row r="132" spans="1:16">
      <c r="A132" s="258" t="s">
        <v>287</v>
      </c>
      <c r="B132" s="279">
        <f>'6-x'!R604</f>
        <v>418.18096891944373</v>
      </c>
      <c r="C132" s="279">
        <f>'6-x'!S604</f>
        <v>356.63688784316292</v>
      </c>
      <c r="D132" s="279">
        <f>'6-x'!T604</f>
        <v>1483.7459865517887</v>
      </c>
      <c r="E132" s="279">
        <f>'6-x'!U604</f>
        <v>437.08639155308026</v>
      </c>
      <c r="F132" s="279">
        <f>'6-x'!V604</f>
        <v>325.73333987625114</v>
      </c>
      <c r="G132" s="279">
        <f>'6-x'!W604</f>
        <v>7.5514812798440634</v>
      </c>
      <c r="H132" s="279">
        <f>'6-x'!X604</f>
        <v>362.91064105059581</v>
      </c>
      <c r="I132" s="56"/>
      <c r="J132" s="56"/>
      <c r="K132" s="56"/>
      <c r="L132" s="56"/>
      <c r="M132" s="56"/>
      <c r="N132" s="56"/>
      <c r="O132" s="56"/>
      <c r="P132" s="56"/>
    </row>
    <row r="133" spans="1:16">
      <c r="A133" s="257" t="s">
        <v>25</v>
      </c>
      <c r="B133" s="324">
        <f>'6-x'!R605</f>
        <v>0</v>
      </c>
      <c r="C133" s="324">
        <f>'6-x'!S605</f>
        <v>328.58466205817064</v>
      </c>
      <c r="D133" s="324">
        <f>'6-x'!T605</f>
        <v>1170.8433044757699</v>
      </c>
      <c r="E133" s="324">
        <f>'6-x'!U605</f>
        <v>480.02453842792784</v>
      </c>
      <c r="F133" s="324">
        <f>'6-x'!V605</f>
        <v>306.67293680996153</v>
      </c>
      <c r="G133" s="324">
        <f>'6-x'!W605</f>
        <v>7.5458712070285765</v>
      </c>
      <c r="H133" s="279">
        <f>'6-x'!X605</f>
        <v>228.75682906065612</v>
      </c>
      <c r="I133" s="56"/>
      <c r="J133" s="56"/>
      <c r="K133" s="56"/>
      <c r="L133" s="56"/>
      <c r="M133" s="56"/>
      <c r="N133" s="56"/>
      <c r="O133" s="56"/>
      <c r="P133" s="56"/>
    </row>
    <row r="134" spans="1:16">
      <c r="A134" s="257" t="s">
        <v>26</v>
      </c>
      <c r="B134" s="324">
        <f>'6-x'!R606</f>
        <v>0</v>
      </c>
      <c r="C134" s="324">
        <f>'6-x'!S606</f>
        <v>352.65148781781426</v>
      </c>
      <c r="D134" s="324">
        <f>'6-x'!T606</f>
        <v>0</v>
      </c>
      <c r="E134" s="324">
        <f>'6-x'!U606</f>
        <v>350.68246052957818</v>
      </c>
      <c r="F134" s="324">
        <f>'6-x'!V606</f>
        <v>365.56877318340543</v>
      </c>
      <c r="G134" s="324">
        <f>'6-x'!W606</f>
        <v>7.8276894585833219</v>
      </c>
      <c r="H134" s="279">
        <f>'6-x'!X606</f>
        <v>352.24346947071473</v>
      </c>
      <c r="I134" s="56"/>
      <c r="J134" s="56"/>
      <c r="K134" s="56"/>
      <c r="L134" s="56"/>
      <c r="M134" s="56"/>
      <c r="N134" s="56"/>
      <c r="O134" s="56"/>
      <c r="P134" s="56"/>
    </row>
    <row r="135" spans="1:16">
      <c r="A135" s="257" t="s">
        <v>27</v>
      </c>
      <c r="B135" s="324">
        <f>'6-x'!R607</f>
        <v>412.73180226753612</v>
      </c>
      <c r="C135" s="324">
        <f>'6-x'!S607</f>
        <v>359.25101738756706</v>
      </c>
      <c r="D135" s="324">
        <f>'6-x'!T607</f>
        <v>1417.2078857786853</v>
      </c>
      <c r="E135" s="324">
        <f>'6-x'!U607</f>
        <v>452.38316614096271</v>
      </c>
      <c r="F135" s="324">
        <f>'6-x'!V607</f>
        <v>249.48422612850158</v>
      </c>
      <c r="G135" s="324">
        <f>'6-x'!W607</f>
        <v>7.9937800631117826</v>
      </c>
      <c r="H135" s="279">
        <f>'6-x'!X607</f>
        <v>368.42173867098222</v>
      </c>
      <c r="I135" s="56"/>
      <c r="J135" s="56"/>
      <c r="K135" s="56"/>
      <c r="L135" s="56"/>
      <c r="M135" s="56"/>
      <c r="N135" s="56"/>
      <c r="O135" s="56"/>
      <c r="P135" s="56"/>
    </row>
    <row r="136" spans="1:16">
      <c r="A136" s="257" t="s">
        <v>28</v>
      </c>
      <c r="B136" s="324">
        <f>'6-x'!R608</f>
        <v>471.69348830575558</v>
      </c>
      <c r="C136" s="324">
        <f>'6-x'!S608</f>
        <v>287.23611563256605</v>
      </c>
      <c r="D136" s="324">
        <f>'6-x'!T608</f>
        <v>0</v>
      </c>
      <c r="E136" s="324">
        <f>'6-x'!U608</f>
        <v>336.09395848923555</v>
      </c>
      <c r="F136" s="324">
        <f>'6-x'!V608</f>
        <v>237.81886723327833</v>
      </c>
      <c r="G136" s="324">
        <f>'6-x'!W608</f>
        <v>0</v>
      </c>
      <c r="H136" s="279">
        <f>'6-x'!X608</f>
        <v>270.92125601111911</v>
      </c>
      <c r="I136" s="56"/>
      <c r="J136" s="56"/>
      <c r="K136" s="56"/>
      <c r="L136" s="56"/>
      <c r="M136" s="56"/>
      <c r="N136" s="56"/>
      <c r="O136" s="56"/>
      <c r="P136" s="56"/>
    </row>
    <row r="137" spans="1:16">
      <c r="A137" s="257" t="s">
        <v>29</v>
      </c>
      <c r="B137" s="324">
        <f>'6-x'!R609</f>
        <v>0</v>
      </c>
      <c r="C137" s="324">
        <f>'6-x'!S609</f>
        <v>516.59586473953118</v>
      </c>
      <c r="D137" s="324">
        <f>'6-x'!T609</f>
        <v>1613.425917553986</v>
      </c>
      <c r="E137" s="324">
        <f>'6-x'!U609</f>
        <v>548.49975613881884</v>
      </c>
      <c r="F137" s="324">
        <f>'6-x'!V609</f>
        <v>494.37547122857029</v>
      </c>
      <c r="G137" s="324">
        <f>'6-x'!W609</f>
        <v>10.731596157113207</v>
      </c>
      <c r="H137" s="279">
        <f>'6-x'!X609</f>
        <v>693.46357140179759</v>
      </c>
      <c r="I137" s="56"/>
      <c r="J137" s="56"/>
      <c r="K137" s="56"/>
      <c r="L137" s="56"/>
      <c r="M137" s="56"/>
      <c r="N137" s="56"/>
      <c r="O137" s="56"/>
      <c r="P137" s="56"/>
    </row>
    <row r="138" spans="1:16">
      <c r="A138" s="368" t="s">
        <v>10</v>
      </c>
      <c r="B138" s="370">
        <f>'6-x'!R610</f>
        <v>870.04007545850845</v>
      </c>
      <c r="C138" s="370">
        <f>'6-x'!S610</f>
        <v>370.73439298967781</v>
      </c>
      <c r="D138" s="370">
        <f>'6-x'!T610</f>
        <v>1485.5681643530017</v>
      </c>
      <c r="E138" s="370">
        <f>'6-x'!U610</f>
        <v>569.18352589126073</v>
      </c>
      <c r="F138" s="370">
        <f>'6-x'!V610</f>
        <v>372.42705053652799</v>
      </c>
      <c r="G138" s="370">
        <f>'6-x'!W610</f>
        <v>8.6355152924113359</v>
      </c>
      <c r="H138" s="370">
        <f>'6-x'!X610</f>
        <v>451.61129329530701</v>
      </c>
      <c r="I138" s="56"/>
      <c r="J138" s="56"/>
      <c r="K138" s="56"/>
      <c r="L138" s="56"/>
      <c r="M138" s="56"/>
      <c r="N138" s="56"/>
      <c r="O138" s="56"/>
      <c r="P138" s="56"/>
    </row>
    <row r="139" spans="1:16" ht="15.6">
      <c r="A139" s="360"/>
      <c r="B139" s="362"/>
      <c r="C139" s="362"/>
      <c r="D139" s="362"/>
      <c r="E139" s="362"/>
      <c r="F139" s="362"/>
      <c r="G139" s="362"/>
      <c r="H139" s="362"/>
    </row>
    <row r="140" spans="1:16" ht="15.6">
      <c r="A140" s="360"/>
      <c r="B140" s="360"/>
      <c r="C140" s="360"/>
      <c r="D140" s="360"/>
      <c r="E140" s="360"/>
      <c r="F140" s="360"/>
      <c r="G140" s="360"/>
      <c r="H140" s="360"/>
    </row>
    <row r="141" spans="1:16">
      <c r="B141" s="895" t="s">
        <v>11</v>
      </c>
      <c r="C141" s="895"/>
      <c r="D141" s="895"/>
      <c r="E141" s="895"/>
      <c r="F141" s="895"/>
      <c r="G141" s="895"/>
      <c r="H141" s="895"/>
    </row>
    <row r="142" spans="1:16" ht="28.8">
      <c r="B142" s="281" t="s">
        <v>5</v>
      </c>
      <c r="C142" s="281" t="s">
        <v>64</v>
      </c>
      <c r="D142" s="281" t="s">
        <v>7</v>
      </c>
      <c r="E142" s="281" t="s">
        <v>8</v>
      </c>
      <c r="F142" s="281" t="s">
        <v>267</v>
      </c>
      <c r="G142" s="281" t="s">
        <v>268</v>
      </c>
      <c r="H142" s="281" t="s">
        <v>10</v>
      </c>
    </row>
    <row r="143" spans="1:16">
      <c r="A143" s="283">
        <v>2016</v>
      </c>
      <c r="B143" s="894" t="s">
        <v>269</v>
      </c>
      <c r="C143" s="894"/>
      <c r="D143" s="894"/>
      <c r="E143" s="894"/>
      <c r="F143" s="894"/>
      <c r="G143" s="894"/>
      <c r="H143" s="894"/>
    </row>
    <row r="144" spans="1:16">
      <c r="A144" s="258" t="s">
        <v>286</v>
      </c>
      <c r="B144" s="279">
        <f>'6-x'!R683</f>
        <v>897.27411396779337</v>
      </c>
      <c r="C144" s="279">
        <f>'6-x'!S683</f>
        <v>396.6407387171663</v>
      </c>
      <c r="D144" s="279">
        <f>'6-x'!T683</f>
        <v>1694.0540228093639</v>
      </c>
      <c r="E144" s="279">
        <f>'6-x'!U683</f>
        <v>717.63052512703268</v>
      </c>
      <c r="F144" s="279">
        <f>'6-x'!V683</f>
        <v>469.08087927114417</v>
      </c>
      <c r="G144" s="279">
        <f>'6-x'!W683</f>
        <v>10.621599010409184</v>
      </c>
      <c r="H144" s="279">
        <f>'6-x'!X683</f>
        <v>586.67988483354134</v>
      </c>
      <c r="I144" s="56"/>
      <c r="J144" s="56"/>
    </row>
    <row r="145" spans="1:10">
      <c r="A145" s="257" t="s">
        <v>18</v>
      </c>
      <c r="B145" s="324">
        <f>'6-x'!R684</f>
        <v>0</v>
      </c>
      <c r="C145" s="324">
        <f>'6-x'!S684</f>
        <v>577.43040006162187</v>
      </c>
      <c r="D145" s="324">
        <f>'6-x'!T684</f>
        <v>1694.0540228093639</v>
      </c>
      <c r="E145" s="324">
        <f>'6-x'!U684</f>
        <v>670.77459168549865</v>
      </c>
      <c r="F145" s="324">
        <f>'6-x'!V684</f>
        <v>367.99343584484518</v>
      </c>
      <c r="G145" s="324">
        <f>'6-x'!W684</f>
        <v>10.60734005213868</v>
      </c>
      <c r="H145" s="279">
        <f>'6-x'!X684</f>
        <v>178.9586597766579</v>
      </c>
      <c r="I145" s="56"/>
      <c r="J145" s="56"/>
    </row>
    <row r="146" spans="1:10">
      <c r="A146" s="257" t="s">
        <v>19</v>
      </c>
      <c r="B146" s="324">
        <f>'6-x'!R685</f>
        <v>0</v>
      </c>
      <c r="C146" s="324">
        <f>'6-x'!S685</f>
        <v>665.33563212899719</v>
      </c>
      <c r="D146" s="324">
        <f>'6-x'!T685</f>
        <v>0</v>
      </c>
      <c r="E146" s="324">
        <f>'6-x'!U685</f>
        <v>1053.507817373905</v>
      </c>
      <c r="F146" s="324">
        <f>'6-x'!V685</f>
        <v>556.77250180199815</v>
      </c>
      <c r="G146" s="324">
        <f>'6-x'!W685</f>
        <v>12.243796434344514</v>
      </c>
      <c r="H146" s="279">
        <f>'6-x'!X685</f>
        <v>607.15788707406637</v>
      </c>
      <c r="I146" s="56"/>
      <c r="J146" s="56"/>
    </row>
    <row r="147" spans="1:10">
      <c r="A147" s="257" t="s">
        <v>20</v>
      </c>
      <c r="B147" s="324">
        <f>'6-x'!R686</f>
        <v>897.27411396779337</v>
      </c>
      <c r="C147" s="324">
        <f>'6-x'!S686</f>
        <v>554.11690928184839</v>
      </c>
      <c r="D147" s="324">
        <f>'6-x'!T686</f>
        <v>0</v>
      </c>
      <c r="E147" s="324">
        <f>'6-x'!U686</f>
        <v>724.41707796176877</v>
      </c>
      <c r="F147" s="324">
        <f>'6-x'!V686</f>
        <v>571.90286153256693</v>
      </c>
      <c r="G147" s="324">
        <f>'6-x'!W686</f>
        <v>9.728243009426393</v>
      </c>
      <c r="H147" s="279">
        <f>'6-x'!X686</f>
        <v>852.26920663811188</v>
      </c>
      <c r="I147" s="56"/>
      <c r="J147" s="56"/>
    </row>
    <row r="148" spans="1:10">
      <c r="A148" s="257" t="s">
        <v>21</v>
      </c>
      <c r="B148" s="324">
        <f>'6-x'!R687</f>
        <v>0</v>
      </c>
      <c r="C148" s="324">
        <f>'6-x'!S687</f>
        <v>392.17012347962816</v>
      </c>
      <c r="D148" s="324">
        <f>'6-x'!T687</f>
        <v>0</v>
      </c>
      <c r="E148" s="324">
        <f>'6-x'!U687</f>
        <v>557.99317760789313</v>
      </c>
      <c r="F148" s="324">
        <f>'6-x'!V687</f>
        <v>312.83152489252581</v>
      </c>
      <c r="G148" s="324">
        <f>'6-x'!W687</f>
        <v>9.728243009426393</v>
      </c>
      <c r="H148" s="279">
        <f>'6-x'!X687</f>
        <v>388.37323992645747</v>
      </c>
      <c r="I148" s="286"/>
      <c r="J148" s="56"/>
    </row>
    <row r="149" spans="1:10">
      <c r="A149" s="257" t="s">
        <v>23</v>
      </c>
      <c r="B149" s="324">
        <f>'6-x'!R688</f>
        <v>0</v>
      </c>
      <c r="C149" s="324">
        <f>'6-x'!S688</f>
        <v>0</v>
      </c>
      <c r="D149" s="324">
        <f>'6-x'!T688</f>
        <v>0</v>
      </c>
      <c r="E149" s="324">
        <f>'6-x'!U688</f>
        <v>0</v>
      </c>
      <c r="F149" s="324">
        <f>'6-x'!V688</f>
        <v>0</v>
      </c>
      <c r="G149" s="324">
        <f>'6-x'!W688</f>
        <v>0</v>
      </c>
      <c r="H149" s="279">
        <f>'6-x'!X688</f>
        <v>0</v>
      </c>
      <c r="I149" s="56"/>
      <c r="J149" s="56"/>
    </row>
    <row r="150" spans="1:10">
      <c r="A150" s="258" t="s">
        <v>287</v>
      </c>
      <c r="B150" s="279">
        <f>'6-x'!R689</f>
        <v>422.87388740937058</v>
      </c>
      <c r="C150" s="279">
        <f>'6-x'!S689</f>
        <v>355.75245151195975</v>
      </c>
      <c r="D150" s="279">
        <f>'6-x'!T689</f>
        <v>1624.5059256759043</v>
      </c>
      <c r="E150" s="279">
        <f>'6-x'!U689</f>
        <v>434.37643290061573</v>
      </c>
      <c r="F150" s="279">
        <f>'6-x'!V689</f>
        <v>329.93627612426144</v>
      </c>
      <c r="G150" s="279">
        <f>'6-x'!W689</f>
        <v>7.5847242797766521</v>
      </c>
      <c r="H150" s="279">
        <f>'6-x'!X689</f>
        <v>370.69169921161887</v>
      </c>
      <c r="I150" s="56"/>
      <c r="J150" s="56"/>
    </row>
    <row r="151" spans="1:10">
      <c r="A151" s="257" t="s">
        <v>25</v>
      </c>
      <c r="B151" s="324">
        <f>'6-x'!R690</f>
        <v>0</v>
      </c>
      <c r="C151" s="324">
        <f>'6-x'!S690</f>
        <v>324.99354977290233</v>
      </c>
      <c r="D151" s="324">
        <f>'6-x'!T690</f>
        <v>1470.6476827705267</v>
      </c>
      <c r="E151" s="324">
        <f>'6-x'!U690</f>
        <v>469.77181237013644</v>
      </c>
      <c r="F151" s="324">
        <f>'6-x'!V690</f>
        <v>311.80084643676497</v>
      </c>
      <c r="G151" s="324">
        <f>'6-x'!W690</f>
        <v>7.5779026941644787</v>
      </c>
      <c r="H151" s="279">
        <f>'6-x'!X690</f>
        <v>225.72324360759819</v>
      </c>
      <c r="I151" s="56"/>
      <c r="J151" s="56"/>
    </row>
    <row r="152" spans="1:10">
      <c r="A152" s="257" t="s">
        <v>26</v>
      </c>
      <c r="B152" s="324">
        <f>'6-x'!R691</f>
        <v>0</v>
      </c>
      <c r="C152" s="324">
        <f>'6-x'!S691</f>
        <v>351.79534341249234</v>
      </c>
      <c r="D152" s="324">
        <f>'6-x'!T691</f>
        <v>924.94400595518562</v>
      </c>
      <c r="E152" s="324">
        <f>'6-x'!U691</f>
        <v>349.05882444623444</v>
      </c>
      <c r="F152" s="324">
        <f>'6-x'!V691</f>
        <v>360.49009668690638</v>
      </c>
      <c r="G152" s="324">
        <f>'6-x'!W691</f>
        <v>9.0333685087530782</v>
      </c>
      <c r="H152" s="279">
        <f>'6-x'!X691</f>
        <v>351.31317279395495</v>
      </c>
      <c r="I152" s="56"/>
      <c r="J152" s="56"/>
    </row>
    <row r="153" spans="1:10">
      <c r="A153" s="257" t="s">
        <v>27</v>
      </c>
      <c r="B153" s="324">
        <f>'6-x'!R692</f>
        <v>418.04449254959189</v>
      </c>
      <c r="C153" s="324">
        <f>'6-x'!S692</f>
        <v>358.9835728389541</v>
      </c>
      <c r="D153" s="324">
        <f>'6-x'!T692</f>
        <v>1549.6086321810249</v>
      </c>
      <c r="E153" s="324">
        <f>'6-x'!U692</f>
        <v>452.16928444809201</v>
      </c>
      <c r="F153" s="324">
        <f>'6-x'!V692</f>
        <v>255.48457561399348</v>
      </c>
      <c r="G153" s="324">
        <f>'6-x'!W692</f>
        <v>8.257694647536356</v>
      </c>
      <c r="H153" s="279">
        <f>'6-x'!X692</f>
        <v>371.85291382205401</v>
      </c>
      <c r="I153" s="286"/>
      <c r="J153" s="56"/>
    </row>
    <row r="154" spans="1:10">
      <c r="A154" s="257" t="s">
        <v>28</v>
      </c>
      <c r="B154" s="324">
        <f>'6-x'!R693</f>
        <v>477.76513434239087</v>
      </c>
      <c r="C154" s="324">
        <f>'6-x'!S693</f>
        <v>287.55243241087203</v>
      </c>
      <c r="D154" s="324">
        <f>'6-x'!T693</f>
        <v>0</v>
      </c>
      <c r="E154" s="324">
        <f>'6-x'!U693</f>
        <v>360.74745958814538</v>
      </c>
      <c r="F154" s="324">
        <f>'6-x'!V693</f>
        <v>240.51912443634626</v>
      </c>
      <c r="G154" s="324">
        <f>'6-x'!W693</f>
        <v>5.3629228904678392</v>
      </c>
      <c r="H154" s="279">
        <f>'6-x'!X693</f>
        <v>274.09487077229761</v>
      </c>
      <c r="I154" s="56"/>
      <c r="J154" s="56"/>
    </row>
    <row r="155" spans="1:10">
      <c r="A155" s="257" t="s">
        <v>29</v>
      </c>
      <c r="B155" s="324">
        <f>'6-x'!R694</f>
        <v>0</v>
      </c>
      <c r="C155" s="324">
        <f>'6-x'!S694</f>
        <v>506.734128769341</v>
      </c>
      <c r="D155" s="324">
        <f>'6-x'!T694</f>
        <v>1721.7662790928557</v>
      </c>
      <c r="E155" s="324">
        <f>'6-x'!U694</f>
        <v>531.20672207434711</v>
      </c>
      <c r="F155" s="324">
        <f>'6-x'!V694</f>
        <v>516.1637706450216</v>
      </c>
      <c r="G155" s="324">
        <f>'6-x'!W694</f>
        <v>11.058739146374522</v>
      </c>
      <c r="H155" s="279">
        <f>'6-x'!X694</f>
        <v>787.31306853759054</v>
      </c>
      <c r="I155" s="56"/>
      <c r="J155" s="56"/>
    </row>
    <row r="156" spans="1:10">
      <c r="A156" s="368" t="s">
        <v>10</v>
      </c>
      <c r="B156" s="370">
        <f>'6-x'!R695</f>
        <v>895.42888298184539</v>
      </c>
      <c r="C156" s="370">
        <f>'6-x'!S695</f>
        <v>370.33463685932207</v>
      </c>
      <c r="D156" s="370">
        <f>'6-x'!T695</f>
        <v>1625.3679399452587</v>
      </c>
      <c r="E156" s="370">
        <f>'6-x'!U695</f>
        <v>565.58427498165167</v>
      </c>
      <c r="F156" s="370">
        <f>'6-x'!V695</f>
        <v>381.48460705206145</v>
      </c>
      <c r="G156" s="370">
        <f>'6-x'!W695</f>
        <v>8.7302472255317571</v>
      </c>
      <c r="H156" s="370">
        <f>'6-x'!X695</f>
        <v>472.40303733502992</v>
      </c>
      <c r="I156" s="56"/>
      <c r="J156" s="56"/>
    </row>
    <row r="157" spans="1:10">
      <c r="B157" s="278"/>
      <c r="C157" s="278"/>
      <c r="D157" s="278"/>
      <c r="E157" s="278"/>
      <c r="F157" s="278"/>
      <c r="G157" s="278"/>
      <c r="H157" s="278"/>
    </row>
    <row r="158" spans="1:10">
      <c r="B158" s="277"/>
      <c r="C158" s="277"/>
      <c r="D158" s="277"/>
      <c r="E158" s="277"/>
      <c r="F158" s="277"/>
      <c r="G158" s="277"/>
      <c r="H158" s="277"/>
    </row>
    <row r="159" spans="1:10">
      <c r="A159" s="283">
        <v>2015</v>
      </c>
      <c r="B159" s="894" t="s">
        <v>269</v>
      </c>
      <c r="C159" s="894"/>
      <c r="D159" s="894"/>
      <c r="E159" s="894"/>
      <c r="F159" s="894"/>
      <c r="G159" s="894"/>
      <c r="H159" s="894"/>
    </row>
    <row r="160" spans="1:10">
      <c r="A160" s="258" t="s">
        <v>286</v>
      </c>
      <c r="B160" s="279">
        <f>'6-x'!R768</f>
        <v>901.36377084811363</v>
      </c>
      <c r="C160" s="279">
        <f>'6-x'!S768</f>
        <v>394.39769681921894</v>
      </c>
      <c r="D160" s="279">
        <f>'6-x'!T768</f>
        <v>1653.9179855247207</v>
      </c>
      <c r="E160" s="279">
        <f>'6-x'!U768</f>
        <v>734.51699854682022</v>
      </c>
      <c r="F160" s="279">
        <f>'6-x'!V768</f>
        <v>449.29652172092898</v>
      </c>
      <c r="G160" s="279">
        <f>'6-x'!W768</f>
        <v>10.200907128217203</v>
      </c>
      <c r="H160" s="279">
        <f>'6-x'!X768</f>
        <v>626.19382006812077</v>
      </c>
      <c r="I160" s="56"/>
      <c r="J160" s="286"/>
    </row>
    <row r="161" spans="1:13">
      <c r="A161" s="257" t="s">
        <v>18</v>
      </c>
      <c r="B161" s="324">
        <f>'6-x'!R769</f>
        <v>0</v>
      </c>
      <c r="C161" s="324">
        <f>'6-x'!S769</f>
        <v>594.54215215342583</v>
      </c>
      <c r="D161" s="324">
        <f>'6-x'!T769</f>
        <v>1653.9179855247207</v>
      </c>
      <c r="E161" s="324">
        <f>'6-x'!U769</f>
        <v>694.45246315014538</v>
      </c>
      <c r="F161" s="324">
        <f>'6-x'!V769</f>
        <v>352.93725709899201</v>
      </c>
      <c r="G161" s="324">
        <f>'6-x'!W769</f>
        <v>10.182684883123088</v>
      </c>
      <c r="H161" s="279">
        <f>'6-x'!X769</f>
        <v>171.87204755522416</v>
      </c>
      <c r="I161" s="56"/>
      <c r="J161" s="286"/>
    </row>
    <row r="162" spans="1:13">
      <c r="A162" s="257" t="s">
        <v>19</v>
      </c>
      <c r="B162" s="324">
        <f>'6-x'!R770</f>
        <v>0</v>
      </c>
      <c r="C162" s="324">
        <f>'6-x'!S770</f>
        <v>409.82834858113716</v>
      </c>
      <c r="D162" s="324">
        <f>'6-x'!T770</f>
        <v>0</v>
      </c>
      <c r="E162" s="324">
        <f>'6-x'!U770</f>
        <v>1065.105833039916</v>
      </c>
      <c r="F162" s="324">
        <f>'6-x'!V770</f>
        <v>565.13266320758839</v>
      </c>
      <c r="G162" s="324">
        <f>'6-x'!W770</f>
        <v>11.823536290954683</v>
      </c>
      <c r="H162" s="279">
        <f>'6-x'!X770</f>
        <v>407.49230384962914</v>
      </c>
      <c r="I162" s="56"/>
      <c r="J162" s="286"/>
    </row>
    <row r="163" spans="1:13">
      <c r="A163" s="257" t="s">
        <v>20</v>
      </c>
      <c r="B163" s="324">
        <f>'6-x'!R771</f>
        <v>901.36377084811363</v>
      </c>
      <c r="C163" s="324">
        <f>'6-x'!S771</f>
        <v>522.44325409759642</v>
      </c>
      <c r="D163" s="324">
        <f>'6-x'!T771</f>
        <v>0</v>
      </c>
      <c r="E163" s="324">
        <f>'6-x'!U771</f>
        <v>738.1350656692432</v>
      </c>
      <c r="F163" s="324">
        <f>'6-x'!V771</f>
        <v>550.65750417410334</v>
      </c>
      <c r="G163" s="324">
        <f>'6-x'!W771</f>
        <v>9.4239217480366282</v>
      </c>
      <c r="H163" s="279">
        <f>'6-x'!X771</f>
        <v>856.98991169459964</v>
      </c>
      <c r="I163" s="56"/>
      <c r="J163" s="286"/>
    </row>
    <row r="164" spans="1:13">
      <c r="A164" s="257" t="s">
        <v>21</v>
      </c>
      <c r="B164" s="324">
        <f>'6-x'!R772</f>
        <v>0</v>
      </c>
      <c r="C164" s="324">
        <f>'6-x'!S772</f>
        <v>389.13809726055945</v>
      </c>
      <c r="D164" s="324">
        <f>'6-x'!T772</f>
        <v>0</v>
      </c>
      <c r="E164" s="324">
        <f>'6-x'!U772</f>
        <v>558.71922792991245</v>
      </c>
      <c r="F164" s="324">
        <f>'6-x'!V772</f>
        <v>305.70252762130372</v>
      </c>
      <c r="G164" s="324">
        <f>'6-x'!W772</f>
        <v>10.664489022620137</v>
      </c>
      <c r="H164" s="279">
        <f>'6-x'!X772</f>
        <v>383.87772685403684</v>
      </c>
      <c r="I164" s="56"/>
      <c r="J164" s="286"/>
    </row>
    <row r="165" spans="1:13">
      <c r="A165" s="257" t="s">
        <v>23</v>
      </c>
      <c r="B165" s="324">
        <f>'6-x'!R773</f>
        <v>0</v>
      </c>
      <c r="C165" s="324">
        <f>'6-x'!S773</f>
        <v>540.94345096084294</v>
      </c>
      <c r="D165" s="324">
        <f>'6-x'!T773</f>
        <v>0</v>
      </c>
      <c r="E165" s="324">
        <f>'6-x'!U773</f>
        <v>0</v>
      </c>
      <c r="F165" s="324">
        <f>'6-x'!V773</f>
        <v>0</v>
      </c>
      <c r="G165" s="324">
        <f>'6-x'!W773</f>
        <v>0</v>
      </c>
      <c r="H165" s="279">
        <f>'6-x'!X773</f>
        <v>540.94345096084294</v>
      </c>
      <c r="I165" s="56"/>
      <c r="J165" s="286"/>
    </row>
    <row r="166" spans="1:13">
      <c r="A166" s="258" t="s">
        <v>287</v>
      </c>
      <c r="B166" s="279">
        <f>'6-x'!R774</f>
        <v>421.02795001236922</v>
      </c>
      <c r="C166" s="279">
        <f>'6-x'!S774</f>
        <v>353.42424035084457</v>
      </c>
      <c r="D166" s="279">
        <f>'6-x'!T774</f>
        <v>1607.3199833261785</v>
      </c>
      <c r="E166" s="279">
        <f>'6-x'!U774</f>
        <v>462.43826816637761</v>
      </c>
      <c r="F166" s="279">
        <f>'6-x'!V774</f>
        <v>319.75610814143971</v>
      </c>
      <c r="G166" s="279">
        <f>'6-x'!W774</f>
        <v>7.4093105805884347</v>
      </c>
      <c r="H166" s="279">
        <f>'6-x'!X774</f>
        <v>361.87321678876975</v>
      </c>
      <c r="I166" s="56"/>
      <c r="J166" s="286"/>
      <c r="M166" s="284"/>
    </row>
    <row r="167" spans="1:13">
      <c r="A167" s="257" t="s">
        <v>25</v>
      </c>
      <c r="B167" s="324">
        <f>'6-x'!R775</f>
        <v>0</v>
      </c>
      <c r="C167" s="324">
        <f>'6-x'!S775</f>
        <v>324.12805968503943</v>
      </c>
      <c r="D167" s="324">
        <f>'6-x'!T775</f>
        <v>1319.8453994640911</v>
      </c>
      <c r="E167" s="324">
        <f>'6-x'!U775</f>
        <v>478.34612263487287</v>
      </c>
      <c r="F167" s="324">
        <f>'6-x'!V775</f>
        <v>302.65512571951734</v>
      </c>
      <c r="G167" s="324">
        <f>'6-x'!W775</f>
        <v>7.4036887726618019</v>
      </c>
      <c r="H167" s="279">
        <f>'6-x'!X775</f>
        <v>219.68015053175515</v>
      </c>
      <c r="I167" s="56"/>
      <c r="J167" s="286"/>
      <c r="M167" s="284"/>
    </row>
    <row r="168" spans="1:13">
      <c r="A168" s="257" t="s">
        <v>26</v>
      </c>
      <c r="B168" s="324">
        <f>'6-x'!R776</f>
        <v>0</v>
      </c>
      <c r="C168" s="324">
        <f>'6-x'!S776</f>
        <v>344.87594401765227</v>
      </c>
      <c r="D168" s="324">
        <f>'6-x'!T776</f>
        <v>866.77793208540561</v>
      </c>
      <c r="E168" s="324">
        <f>'6-x'!U776</f>
        <v>362.58001760901311</v>
      </c>
      <c r="F168" s="324">
        <f>'6-x'!V776</f>
        <v>356.3856329352239</v>
      </c>
      <c r="G168" s="324">
        <f>'6-x'!W776</f>
        <v>8.1091503652008665</v>
      </c>
      <c r="H168" s="279">
        <f>'6-x'!X776</f>
        <v>346.16175345430514</v>
      </c>
      <c r="I168" s="56"/>
      <c r="J168" s="286"/>
      <c r="M168" s="284"/>
    </row>
    <row r="169" spans="1:13">
      <c r="A169" s="257" t="s">
        <v>27</v>
      </c>
      <c r="B169" s="324">
        <f>'6-x'!R777</f>
        <v>416.08152627345402</v>
      </c>
      <c r="C169" s="324">
        <f>'6-x'!S777</f>
        <v>356.46017943669432</v>
      </c>
      <c r="D169" s="324">
        <f>'6-x'!T777</f>
        <v>1527.3473431289622</v>
      </c>
      <c r="E169" s="324">
        <f>'6-x'!U777</f>
        <v>467.74984776637876</v>
      </c>
      <c r="F169" s="324">
        <f>'6-x'!V777</f>
        <v>242.38874337234796</v>
      </c>
      <c r="G169" s="324">
        <f>'6-x'!W777</f>
        <v>8.1614067794630181</v>
      </c>
      <c r="H169" s="279">
        <f>'6-x'!X777</f>
        <v>361.77246777792021</v>
      </c>
      <c r="I169" s="56"/>
      <c r="J169" s="286"/>
      <c r="M169" s="284"/>
    </row>
    <row r="170" spans="1:13">
      <c r="A170" s="257" t="s">
        <v>28</v>
      </c>
      <c r="B170" s="324">
        <f>'6-x'!R778</f>
        <v>475.52174431251882</v>
      </c>
      <c r="C170" s="324">
        <f>'6-x'!S778</f>
        <v>282.57465800777885</v>
      </c>
      <c r="D170" s="324">
        <f>'6-x'!T778</f>
        <v>0</v>
      </c>
      <c r="E170" s="324">
        <f>'6-x'!U778</f>
        <v>334.10703411884197</v>
      </c>
      <c r="F170" s="324">
        <f>'6-x'!V778</f>
        <v>236.85530307699912</v>
      </c>
      <c r="G170" s="324">
        <f>'6-x'!W778</f>
        <v>4.9622690983340272</v>
      </c>
      <c r="H170" s="279">
        <f>'6-x'!X778</f>
        <v>272.26048359766577</v>
      </c>
      <c r="I170" s="56"/>
      <c r="J170" s="286"/>
      <c r="M170" s="284"/>
    </row>
    <row r="171" spans="1:13">
      <c r="A171" s="257" t="s">
        <v>29</v>
      </c>
      <c r="B171" s="324">
        <f>'6-x'!R779</f>
        <v>0</v>
      </c>
      <c r="C171" s="324">
        <f>'6-x'!S779</f>
        <v>485.1546953109285</v>
      </c>
      <c r="D171" s="324">
        <f>'6-x'!T779</f>
        <v>1703.6223691808655</v>
      </c>
      <c r="E171" s="324">
        <f>'6-x'!U779</f>
        <v>621.57604211580883</v>
      </c>
      <c r="F171" s="324">
        <f>'6-x'!V779</f>
        <v>509.83835764754417</v>
      </c>
      <c r="G171" s="324">
        <f>'6-x'!W779</f>
        <v>10.759595696577254</v>
      </c>
      <c r="H171" s="279">
        <f>'6-x'!X779</f>
        <v>747.27453179822055</v>
      </c>
      <c r="I171" s="56"/>
      <c r="J171" s="286"/>
      <c r="M171" s="284"/>
    </row>
    <row r="172" spans="1:13">
      <c r="A172" s="368" t="s">
        <v>10</v>
      </c>
      <c r="B172" s="370">
        <f>'6-x'!R780</f>
        <v>899.77381817586729</v>
      </c>
      <c r="C172" s="370">
        <f>'6-x'!S780</f>
        <v>367.51607543854271</v>
      </c>
      <c r="D172" s="370">
        <f>'6-x'!T780</f>
        <v>1608.0041370244637</v>
      </c>
      <c r="E172" s="370">
        <f>'6-x'!U780</f>
        <v>616.9968793589544</v>
      </c>
      <c r="F172" s="370">
        <f>'6-x'!V780</f>
        <v>368.23828998991752</v>
      </c>
      <c r="G172" s="370">
        <f>'6-x'!W780</f>
        <v>8.4913273520293728</v>
      </c>
      <c r="H172" s="370">
        <f>'6-x'!X780</f>
        <v>493.83282588083608</v>
      </c>
      <c r="I172" s="56"/>
      <c r="J172" s="286"/>
    </row>
    <row r="173" spans="1:13">
      <c r="B173" s="278"/>
      <c r="C173" s="278"/>
      <c r="D173" s="278"/>
      <c r="E173" s="278"/>
      <c r="F173" s="278"/>
      <c r="G173" s="278"/>
      <c r="H173" s="278"/>
    </row>
    <row r="174" spans="1:13">
      <c r="B174" s="277"/>
      <c r="C174" s="277"/>
      <c r="D174" s="277"/>
      <c r="E174" s="277"/>
      <c r="F174" s="277"/>
      <c r="G174" s="277"/>
      <c r="H174" s="277"/>
    </row>
    <row r="175" spans="1:13">
      <c r="A175" s="283">
        <v>2010</v>
      </c>
      <c r="B175" s="894" t="s">
        <v>269</v>
      </c>
      <c r="C175" s="894"/>
      <c r="D175" s="894"/>
      <c r="E175" s="894"/>
      <c r="F175" s="894"/>
      <c r="G175" s="894"/>
      <c r="H175" s="894"/>
    </row>
    <row r="176" spans="1:13">
      <c r="A176" s="258" t="s">
        <v>286</v>
      </c>
      <c r="B176" s="279">
        <f>'6-x'!R852</f>
        <v>890.48823839475472</v>
      </c>
      <c r="C176" s="279">
        <f>'6-x'!S852</f>
        <v>409.00519293006289</v>
      </c>
      <c r="D176" s="279">
        <f>'6-x'!T852</f>
        <v>1795.0367668642903</v>
      </c>
      <c r="E176" s="279">
        <f>'6-x'!U852</f>
        <v>784.4874592005599</v>
      </c>
      <c r="F176" s="279">
        <f>'6-x'!V852</f>
        <v>723.76887771216582</v>
      </c>
      <c r="G176" s="279">
        <f>'6-x'!W852</f>
        <v>30.855943965622988</v>
      </c>
      <c r="H176" s="279">
        <f>'6-x'!X852</f>
        <v>606.86237695759462</v>
      </c>
      <c r="J176" s="286"/>
    </row>
    <row r="177" spans="1:10">
      <c r="A177" s="257" t="s">
        <v>18</v>
      </c>
      <c r="B177" s="324">
        <f>'6-x'!R853</f>
        <v>0</v>
      </c>
      <c r="C177" s="324">
        <f>'6-x'!S853</f>
        <v>595.34125480345142</v>
      </c>
      <c r="D177" s="324">
        <f>'6-x'!T853</f>
        <v>1653.4174578331445</v>
      </c>
      <c r="E177" s="324">
        <f>'6-x'!U853</f>
        <v>714.01889414547486</v>
      </c>
      <c r="F177" s="324">
        <f>'6-x'!V853</f>
        <v>501.08695980900353</v>
      </c>
      <c r="G177" s="324">
        <f>'6-x'!W853</f>
        <v>30.834298874065983</v>
      </c>
      <c r="H177" s="279">
        <f>'6-x'!X853</f>
        <v>303.62182136542901</v>
      </c>
      <c r="J177" s="286"/>
    </row>
    <row r="178" spans="1:10">
      <c r="A178" s="257" t="s">
        <v>19</v>
      </c>
      <c r="B178" s="324">
        <f>'6-x'!R854</f>
        <v>0</v>
      </c>
      <c r="C178" s="324">
        <f>'6-x'!S854</f>
        <v>739.91750852494374</v>
      </c>
      <c r="D178" s="324">
        <f>'6-x'!T854</f>
        <v>0</v>
      </c>
      <c r="E178" s="324">
        <f>'6-x'!U854</f>
        <v>1283.4224129675226</v>
      </c>
      <c r="F178" s="324">
        <f>'6-x'!V854</f>
        <v>744.86380416523912</v>
      </c>
      <c r="G178" s="324">
        <f>'6-x'!W854</f>
        <v>33.58241381087258</v>
      </c>
      <c r="H178" s="279">
        <f>'6-x'!X854</f>
        <v>767.57338991959148</v>
      </c>
      <c r="J178" s="286"/>
    </row>
    <row r="179" spans="1:10">
      <c r="A179" s="257" t="s">
        <v>20</v>
      </c>
      <c r="B179" s="324">
        <f>'6-x'!R855</f>
        <v>890.48823839475472</v>
      </c>
      <c r="C179" s="324">
        <f>'6-x'!S855</f>
        <v>571.55425995268081</v>
      </c>
      <c r="D179" s="324">
        <f>'6-x'!T855</f>
        <v>1800.4362688414203</v>
      </c>
      <c r="E179" s="324">
        <f>'6-x'!U855</f>
        <v>784.88907324788704</v>
      </c>
      <c r="F179" s="324">
        <f>'6-x'!V855</f>
        <v>891.24453591355166</v>
      </c>
      <c r="G179" s="324">
        <f>'6-x'!W855</f>
        <v>0</v>
      </c>
      <c r="H179" s="279">
        <f>'6-x'!X855</f>
        <v>874.24439300276265</v>
      </c>
      <c r="J179" s="286"/>
    </row>
    <row r="180" spans="1:10">
      <c r="A180" s="257" t="s">
        <v>21</v>
      </c>
      <c r="B180" s="324">
        <f>'6-x'!R856</f>
        <v>0</v>
      </c>
      <c r="C180" s="324">
        <f>'6-x'!S856</f>
        <v>395.39722135014119</v>
      </c>
      <c r="D180" s="324">
        <f>'6-x'!T856</f>
        <v>1794.3058002734285</v>
      </c>
      <c r="E180" s="324">
        <f>'6-x'!U856</f>
        <v>2120.5049310383329</v>
      </c>
      <c r="F180" s="324">
        <f>'6-x'!V856</f>
        <v>420.63760477035839</v>
      </c>
      <c r="G180" s="324">
        <f>'6-x'!W856</f>
        <v>0</v>
      </c>
      <c r="H180" s="279">
        <f>'6-x'!X856</f>
        <v>397.85284133176287</v>
      </c>
      <c r="J180" s="286"/>
    </row>
    <row r="181" spans="1:10">
      <c r="A181" s="257" t="s">
        <v>23</v>
      </c>
      <c r="B181" s="324">
        <f>'6-x'!R857</f>
        <v>0</v>
      </c>
      <c r="C181" s="324">
        <f>'6-x'!S857</f>
        <v>584.67911825645569</v>
      </c>
      <c r="D181" s="324">
        <f>'6-x'!T857</f>
        <v>0</v>
      </c>
      <c r="E181" s="324">
        <f>'6-x'!U857</f>
        <v>771.17788698389222</v>
      </c>
      <c r="F181" s="324">
        <f>'6-x'!V857</f>
        <v>0</v>
      </c>
      <c r="G181" s="324">
        <f>'6-x'!W857</f>
        <v>0</v>
      </c>
      <c r="H181" s="279">
        <f>'6-x'!X857</f>
        <v>615.90543946545336</v>
      </c>
      <c r="J181" s="286"/>
    </row>
    <row r="182" spans="1:10">
      <c r="A182" s="258" t="s">
        <v>287</v>
      </c>
      <c r="B182" s="279">
        <f>'6-x'!R858</f>
        <v>581.27582842291031</v>
      </c>
      <c r="C182" s="279">
        <f>'6-x'!S858</f>
        <v>377.34549755113426</v>
      </c>
      <c r="D182" s="279">
        <f>'6-x'!T858</f>
        <v>1622.197535953308</v>
      </c>
      <c r="E182" s="279">
        <f>'6-x'!U858</f>
        <v>571.39582744934978</v>
      </c>
      <c r="F182" s="279">
        <f>'6-x'!V858</f>
        <v>505.01293018883308</v>
      </c>
      <c r="G182" s="279">
        <f>'6-x'!W858</f>
        <v>25.130685222742986</v>
      </c>
      <c r="H182" s="279">
        <f>'6-x'!X858</f>
        <v>443.99098253657206</v>
      </c>
      <c r="J182" s="286"/>
    </row>
    <row r="183" spans="1:10">
      <c r="A183" s="257" t="s">
        <v>25</v>
      </c>
      <c r="B183" s="324">
        <f>'6-x'!R859</f>
        <v>0</v>
      </c>
      <c r="C183" s="324">
        <f>'6-x'!S859</f>
        <v>376.77327340802253</v>
      </c>
      <c r="D183" s="324">
        <f>'6-x'!T859</f>
        <v>1669.5072477379151</v>
      </c>
      <c r="E183" s="324">
        <f>'6-x'!U859</f>
        <v>475.38790765066182</v>
      </c>
      <c r="F183" s="324">
        <f>'6-x'!V859</f>
        <v>405.87839056788982</v>
      </c>
      <c r="G183" s="324">
        <f>'6-x'!W859</f>
        <v>23.287503809866394</v>
      </c>
      <c r="H183" s="279">
        <f>'6-x'!X859</f>
        <v>385.42840500986409</v>
      </c>
      <c r="J183" s="286"/>
    </row>
    <row r="184" spans="1:10">
      <c r="A184" s="257" t="s">
        <v>26</v>
      </c>
      <c r="B184" s="324">
        <f>'6-x'!R860</f>
        <v>0</v>
      </c>
      <c r="C184" s="324">
        <f>'6-x'!S860</f>
        <v>354.45315676054145</v>
      </c>
      <c r="D184" s="324">
        <f>'6-x'!T860</f>
        <v>891.83406900731211</v>
      </c>
      <c r="E184" s="324">
        <f>'6-x'!U860</f>
        <v>489.44339769289564</v>
      </c>
      <c r="F184" s="324">
        <f>'6-x'!V860</f>
        <v>0</v>
      </c>
      <c r="G184" s="324">
        <f>'6-x'!W860</f>
        <v>19.399982980001781</v>
      </c>
      <c r="H184" s="279">
        <f>'6-x'!X860</f>
        <v>372.98643567859511</v>
      </c>
      <c r="J184" s="286"/>
    </row>
    <row r="185" spans="1:10">
      <c r="A185" s="257" t="s">
        <v>27</v>
      </c>
      <c r="B185" s="324">
        <f>'6-x'!R861</f>
        <v>600.54570293409665</v>
      </c>
      <c r="C185" s="324">
        <f>'6-x'!S861</f>
        <v>376.04515378537241</v>
      </c>
      <c r="D185" s="324">
        <f>'6-x'!T861</f>
        <v>1586.7597567990924</v>
      </c>
      <c r="E185" s="324">
        <f>'6-x'!U861</f>
        <v>500.37544550352192</v>
      </c>
      <c r="F185" s="324">
        <f>'6-x'!V861</f>
        <v>409.92527188147</v>
      </c>
      <c r="G185" s="324">
        <f>'6-x'!W861</f>
        <v>63.178483680186801</v>
      </c>
      <c r="H185" s="279">
        <f>'6-x'!X861</f>
        <v>428.34105064643416</v>
      </c>
      <c r="J185" s="286"/>
    </row>
    <row r="186" spans="1:10">
      <c r="A186" s="257" t="s">
        <v>28</v>
      </c>
      <c r="B186" s="324">
        <f>'6-x'!R862</f>
        <v>450.95609026162936</v>
      </c>
      <c r="C186" s="324">
        <f>'6-x'!S862</f>
        <v>442.76318349622738</v>
      </c>
      <c r="D186" s="324">
        <f>'6-x'!T862</f>
        <v>0</v>
      </c>
      <c r="E186" s="324">
        <f>'6-x'!U862</f>
        <v>614.06874273403491</v>
      </c>
      <c r="F186" s="324">
        <f>'6-x'!V862</f>
        <v>353.98308901727398</v>
      </c>
      <c r="G186" s="324">
        <f>'6-x'!W862</f>
        <v>21.118016379006466</v>
      </c>
      <c r="H186" s="279">
        <f>'6-x'!X862</f>
        <v>451.34510845188174</v>
      </c>
      <c r="J186" s="286"/>
    </row>
    <row r="187" spans="1:10">
      <c r="A187" s="257" t="s">
        <v>29</v>
      </c>
      <c r="B187" s="324">
        <f>'6-x'!R863</f>
        <v>0</v>
      </c>
      <c r="C187" s="324">
        <f>'6-x'!S863</f>
        <v>516.27400245477907</v>
      </c>
      <c r="D187" s="324">
        <f>'6-x'!T863</f>
        <v>3195.738747276203</v>
      </c>
      <c r="E187" s="324">
        <f>'6-x'!U863</f>
        <v>647.48957461223517</v>
      </c>
      <c r="F187" s="324">
        <f>'6-x'!V863</f>
        <v>1025.765387071576</v>
      </c>
      <c r="G187" s="324">
        <f>'6-x'!W863</f>
        <v>36.454913072311044</v>
      </c>
      <c r="H187" s="279">
        <f>'6-x'!X863</f>
        <v>827.9451752038326</v>
      </c>
      <c r="J187" s="286"/>
    </row>
    <row r="188" spans="1:10">
      <c r="A188" s="368" t="s">
        <v>10</v>
      </c>
      <c r="B188" s="370">
        <f>'6-x'!R864</f>
        <v>889.47937175868947</v>
      </c>
      <c r="C188" s="370">
        <f>'6-x'!S864</f>
        <v>391.03234749628189</v>
      </c>
      <c r="D188" s="370">
        <f>'6-x'!T864</f>
        <v>1657.0715088762943</v>
      </c>
      <c r="E188" s="370">
        <f>'6-x'!U864</f>
        <v>678.29920307584575</v>
      </c>
      <c r="F188" s="370">
        <f>'6-x'!V864</f>
        <v>565.99558753876204</v>
      </c>
      <c r="G188" s="370">
        <f>'6-x'!W864</f>
        <v>29.232887568412714</v>
      </c>
      <c r="H188" s="370">
        <f>'6-x'!X864</f>
        <v>528.08893380104689</v>
      </c>
      <c r="J188" s="286"/>
    </row>
    <row r="191" spans="1:10">
      <c r="A191" s="283">
        <v>2005</v>
      </c>
      <c r="B191" s="894" t="s">
        <v>269</v>
      </c>
      <c r="C191" s="894"/>
      <c r="D191" s="894"/>
      <c r="E191" s="894"/>
      <c r="F191" s="894"/>
      <c r="G191" s="894"/>
      <c r="H191" s="894"/>
    </row>
    <row r="192" spans="1:10">
      <c r="A192" s="258" t="s">
        <v>286</v>
      </c>
      <c r="B192" s="279">
        <f>'6-x'!R935</f>
        <v>923.0128061404738</v>
      </c>
      <c r="C192" s="279">
        <f>'6-x'!S935</f>
        <v>411.16892166157544</v>
      </c>
      <c r="D192" s="279">
        <f>'6-x'!T935</f>
        <v>2111.562176270575</v>
      </c>
      <c r="E192" s="279">
        <f>'6-x'!U935</f>
        <v>721.80131362522832</v>
      </c>
      <c r="F192" s="279">
        <f>'6-x'!V935</f>
        <v>1134.2191759871762</v>
      </c>
      <c r="G192" s="279">
        <f>'6-x'!W935</f>
        <v>63.33516336760394</v>
      </c>
      <c r="H192" s="279">
        <f>'6-x'!X935</f>
        <v>634.77072606528156</v>
      </c>
    </row>
    <row r="193" spans="1:8">
      <c r="A193" s="257" t="s">
        <v>18</v>
      </c>
      <c r="B193" s="324">
        <f>'6-x'!R936</f>
        <v>0</v>
      </c>
      <c r="C193" s="324">
        <f>'6-x'!S936</f>
        <v>558.03993468331362</v>
      </c>
      <c r="D193" s="324">
        <f>'6-x'!T936</f>
        <v>1877.7109523607164</v>
      </c>
      <c r="E193" s="324">
        <f>'6-x'!U936</f>
        <v>740.94098023857111</v>
      </c>
      <c r="F193" s="324">
        <f>'6-x'!V936</f>
        <v>2082.7016689831498</v>
      </c>
      <c r="G193" s="324">
        <f>'6-x'!W936</f>
        <v>62.812515745089875</v>
      </c>
      <c r="H193" s="279">
        <f>'6-x'!X936</f>
        <v>326.54612775952904</v>
      </c>
    </row>
    <row r="194" spans="1:8">
      <c r="A194" s="257" t="s">
        <v>19</v>
      </c>
      <c r="B194" s="324">
        <f>'6-x'!R937</f>
        <v>0</v>
      </c>
      <c r="C194" s="324">
        <f>'6-x'!S937</f>
        <v>692.34785116641626</v>
      </c>
      <c r="D194" s="324">
        <f>'6-x'!T937</f>
        <v>0</v>
      </c>
      <c r="E194" s="324">
        <f>'6-x'!U937</f>
        <v>1191.3725339979069</v>
      </c>
      <c r="F194" s="324">
        <f>'6-x'!V937</f>
        <v>0</v>
      </c>
      <c r="G194" s="324">
        <f>'6-x'!W937</f>
        <v>78.027047916507854</v>
      </c>
      <c r="H194" s="279">
        <f>'6-x'!X937</f>
        <v>721.23625782388558</v>
      </c>
    </row>
    <row r="195" spans="1:8">
      <c r="A195" s="257" t="s">
        <v>20</v>
      </c>
      <c r="B195" s="324">
        <f>'6-x'!R938</f>
        <v>923.0128061404738</v>
      </c>
      <c r="C195" s="324">
        <f>'6-x'!S938</f>
        <v>535.34000513687386</v>
      </c>
      <c r="D195" s="324">
        <f>'6-x'!T938</f>
        <v>2114.2729621069484</v>
      </c>
      <c r="E195" s="324">
        <f>'6-x'!U938</f>
        <v>725.48499555075102</v>
      </c>
      <c r="F195" s="324">
        <f>'6-x'!V938</f>
        <v>1119.9894897720533</v>
      </c>
      <c r="G195" s="324">
        <f>'6-x'!W938</f>
        <v>0</v>
      </c>
      <c r="H195" s="279">
        <f>'6-x'!X938</f>
        <v>865.77505208475156</v>
      </c>
    </row>
    <row r="196" spans="1:8">
      <c r="A196" s="257" t="s">
        <v>21</v>
      </c>
      <c r="B196" s="324">
        <f>'6-x'!R939</f>
        <v>0</v>
      </c>
      <c r="C196" s="324">
        <f>'6-x'!S939</f>
        <v>371.47488872351084</v>
      </c>
      <c r="D196" s="324">
        <f>'6-x'!T939</f>
        <v>0</v>
      </c>
      <c r="E196" s="324">
        <f>'6-x'!U939</f>
        <v>1310.2889876164431</v>
      </c>
      <c r="F196" s="324">
        <f>'6-x'!V939</f>
        <v>915.34879927129884</v>
      </c>
      <c r="G196" s="324">
        <f>'6-x'!W939</f>
        <v>0</v>
      </c>
      <c r="H196" s="279">
        <f>'6-x'!X939</f>
        <v>371.71912037403496</v>
      </c>
    </row>
    <row r="197" spans="1:8">
      <c r="A197" s="257" t="s">
        <v>23</v>
      </c>
      <c r="B197" s="324">
        <f>'6-x'!R940</f>
        <v>0</v>
      </c>
      <c r="C197" s="324">
        <f>'6-x'!S940</f>
        <v>495.14221323171978</v>
      </c>
      <c r="D197" s="324">
        <f>'6-x'!T940</f>
        <v>0</v>
      </c>
      <c r="E197" s="324">
        <f>'6-x'!U940</f>
        <v>650.72849818313</v>
      </c>
      <c r="F197" s="324">
        <f>'6-x'!V940</f>
        <v>0</v>
      </c>
      <c r="G197" s="324">
        <f>'6-x'!W940</f>
        <v>0</v>
      </c>
      <c r="H197" s="279">
        <f>'6-x'!X940</f>
        <v>512.54273466367169</v>
      </c>
    </row>
    <row r="198" spans="1:8">
      <c r="A198" s="258" t="s">
        <v>287</v>
      </c>
      <c r="B198" s="279">
        <f>'6-x'!R941</f>
        <v>667.19060837356744</v>
      </c>
      <c r="C198" s="279">
        <f>'6-x'!S941</f>
        <v>387.68435670665099</v>
      </c>
      <c r="D198" s="279">
        <f>'6-x'!T941</f>
        <v>1785.5570096122528</v>
      </c>
      <c r="E198" s="279">
        <f>'6-x'!U941</f>
        <v>597.73459461065067</v>
      </c>
      <c r="F198" s="279">
        <f>'6-x'!V941</f>
        <v>463.34642192623892</v>
      </c>
      <c r="G198" s="279">
        <f>'6-x'!W941</f>
        <v>47.324781846216233</v>
      </c>
      <c r="H198" s="279">
        <f>'6-x'!X941</f>
        <v>473.88736923440973</v>
      </c>
    </row>
    <row r="199" spans="1:8">
      <c r="A199" s="257" t="s">
        <v>25</v>
      </c>
      <c r="B199" s="324">
        <f>'6-x'!R942</f>
        <v>0</v>
      </c>
      <c r="C199" s="324">
        <f>'6-x'!S942</f>
        <v>366.50927913522719</v>
      </c>
      <c r="D199" s="324">
        <f>'6-x'!T942</f>
        <v>1875.1018125473395</v>
      </c>
      <c r="E199" s="324">
        <f>'6-x'!U942</f>
        <v>574.07943126189866</v>
      </c>
      <c r="F199" s="324">
        <f>'6-x'!V942</f>
        <v>415.20180349398345</v>
      </c>
      <c r="G199" s="324">
        <f>'6-x'!W942</f>
        <v>50.09663032052265</v>
      </c>
      <c r="H199" s="279">
        <f>'6-x'!X942</f>
        <v>469.21113229047415</v>
      </c>
    </row>
    <row r="200" spans="1:8">
      <c r="A200" s="257" t="s">
        <v>26</v>
      </c>
      <c r="B200" s="324">
        <f>'6-x'!R943</f>
        <v>0</v>
      </c>
      <c r="C200" s="324">
        <f>'6-x'!S943</f>
        <v>376.44049831179467</v>
      </c>
      <c r="D200" s="324">
        <f>'6-x'!T943</f>
        <v>0</v>
      </c>
      <c r="E200" s="324">
        <f>'6-x'!U943</f>
        <v>489.86008612622447</v>
      </c>
      <c r="F200" s="324">
        <f>'6-x'!V943</f>
        <v>320.73245328797481</v>
      </c>
      <c r="G200" s="324">
        <f>'6-x'!W943</f>
        <v>68.279851696119749</v>
      </c>
      <c r="H200" s="279">
        <f>'6-x'!X943</f>
        <v>386.37965869855924</v>
      </c>
    </row>
    <row r="201" spans="1:8">
      <c r="A201" s="257" t="s">
        <v>27</v>
      </c>
      <c r="B201" s="324">
        <f>'6-x'!R944</f>
        <v>0</v>
      </c>
      <c r="C201" s="324">
        <f>'6-x'!S944</f>
        <v>391.10086947720367</v>
      </c>
      <c r="D201" s="324">
        <f>'6-x'!T944</f>
        <v>1707.2471512200493</v>
      </c>
      <c r="E201" s="324">
        <f>'6-x'!U944</f>
        <v>591.42798550332964</v>
      </c>
      <c r="F201" s="324">
        <f>'6-x'!V944</f>
        <v>384.31264266368095</v>
      </c>
      <c r="G201" s="324">
        <f>'6-x'!W944</f>
        <v>75.874748243477995</v>
      </c>
      <c r="H201" s="279">
        <f>'6-x'!X944</f>
        <v>455.68098090422086</v>
      </c>
    </row>
    <row r="202" spans="1:8">
      <c r="A202" s="257" t="s">
        <v>28</v>
      </c>
      <c r="B202" s="324">
        <f>'6-x'!R945</f>
        <v>667.19060837356744</v>
      </c>
      <c r="C202" s="324">
        <f>'6-x'!S945</f>
        <v>304.0844728825175</v>
      </c>
      <c r="D202" s="324">
        <f>'6-x'!T945</f>
        <v>1407.1960726816303</v>
      </c>
      <c r="E202" s="324">
        <f>'6-x'!U945</f>
        <v>393.33903889208108</v>
      </c>
      <c r="F202" s="324">
        <f>'6-x'!V945</f>
        <v>546.73814669635533</v>
      </c>
      <c r="G202" s="324">
        <f>'6-x'!W945</f>
        <v>55.761878885164471</v>
      </c>
      <c r="H202" s="279">
        <f>'6-x'!X945</f>
        <v>421.90492994469702</v>
      </c>
    </row>
    <row r="203" spans="1:8">
      <c r="A203" s="257" t="s">
        <v>29</v>
      </c>
      <c r="B203" s="324">
        <f>'6-x'!R946</f>
        <v>0</v>
      </c>
      <c r="C203" s="324">
        <f>'6-x'!S946</f>
        <v>464.87564050313335</v>
      </c>
      <c r="D203" s="324">
        <f>'6-x'!T946</f>
        <v>2684.8048679655089</v>
      </c>
      <c r="E203" s="324">
        <f>'6-x'!U946</f>
        <v>675.33190238006853</v>
      </c>
      <c r="F203" s="324">
        <f>'6-x'!V946</f>
        <v>791.27733660291699</v>
      </c>
      <c r="G203" s="324">
        <f>'6-x'!W946</f>
        <v>42.056430392537528</v>
      </c>
      <c r="H203" s="279">
        <f>'6-x'!X946</f>
        <v>739.25507551215992</v>
      </c>
    </row>
    <row r="204" spans="1:8">
      <c r="A204" s="368" t="s">
        <v>10</v>
      </c>
      <c r="B204" s="370">
        <f>'6-x'!R947</f>
        <v>919.8630104003845</v>
      </c>
      <c r="C204" s="370">
        <f>'6-x'!S947</f>
        <v>400.53609580344573</v>
      </c>
      <c r="D204" s="370">
        <f>'6-x'!T947</f>
        <v>1900.5843425525975</v>
      </c>
      <c r="E204" s="370">
        <f>'6-x'!U947</f>
        <v>693.46032768208408</v>
      </c>
      <c r="F204" s="370">
        <f>'6-x'!V947</f>
        <v>546.91571775445925</v>
      </c>
      <c r="G204" s="370">
        <f>'6-x'!W947</f>
        <v>60.458628994930521</v>
      </c>
      <c r="H204" s="370">
        <f>'6-x'!X947</f>
        <v>574.47575999978096</v>
      </c>
    </row>
    <row r="207" spans="1:8">
      <c r="B207" s="56"/>
      <c r="C207" s="56"/>
      <c r="D207" s="56"/>
      <c r="E207" s="56"/>
      <c r="F207" s="56"/>
      <c r="G207" s="56"/>
      <c r="H207" s="56"/>
    </row>
    <row r="208" spans="1:8">
      <c r="B208" s="56"/>
      <c r="C208" s="56"/>
      <c r="D208" s="56"/>
      <c r="E208" s="56"/>
      <c r="F208" s="56"/>
      <c r="G208" s="56"/>
      <c r="H208" s="56"/>
    </row>
    <row r="209" spans="2:8">
      <c r="B209" s="56"/>
      <c r="C209" s="56"/>
      <c r="D209" s="56"/>
      <c r="E209" s="56"/>
      <c r="F209" s="56"/>
      <c r="G209" s="56"/>
      <c r="H209" s="56"/>
    </row>
  </sheetData>
  <mergeCells count="20">
    <mergeCell ref="A2:H2"/>
    <mergeCell ref="B123:H123"/>
    <mergeCell ref="B125:H125"/>
    <mergeCell ref="B103:H103"/>
    <mergeCell ref="B105:H105"/>
    <mergeCell ref="B83:H83"/>
    <mergeCell ref="B85:H85"/>
    <mergeCell ref="B63:H63"/>
    <mergeCell ref="B65:H65"/>
    <mergeCell ref="B43:H43"/>
    <mergeCell ref="B45:H45"/>
    <mergeCell ref="B23:H23"/>
    <mergeCell ref="B25:H25"/>
    <mergeCell ref="B3:H3"/>
    <mergeCell ref="B5:H5"/>
    <mergeCell ref="B159:H159"/>
    <mergeCell ref="B175:H175"/>
    <mergeCell ref="B191:H191"/>
    <mergeCell ref="B143:H143"/>
    <mergeCell ref="B141:H141"/>
  </mergeCells>
  <hyperlinks>
    <hyperlink ref="A1" location="Indice!A1" display="Torna indietro" xr:uid="{00000000-0004-0000-12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5"/>
  <dimension ref="A1:Q143"/>
  <sheetViews>
    <sheetView zoomScaleNormal="100" workbookViewId="0">
      <selection activeCell="O30" sqref="O30"/>
    </sheetView>
  </sheetViews>
  <sheetFormatPr defaultRowHeight="14.4"/>
  <cols>
    <col min="1" max="1" width="41.21875" customWidth="1"/>
    <col min="2" max="8" width="10.77734375" customWidth="1"/>
    <col min="10" max="10" width="9.77734375" bestFit="1" customWidth="1"/>
    <col min="11" max="13" width="9.21875" bestFit="1" customWidth="1"/>
  </cols>
  <sheetData>
    <row r="1" spans="1:8" ht="15.6">
      <c r="A1" s="113" t="s">
        <v>57</v>
      </c>
    </row>
    <row r="2" spans="1:8" ht="36.6" customHeight="1">
      <c r="A2" s="891" t="s">
        <v>379</v>
      </c>
      <c r="B2" s="891"/>
      <c r="C2" s="891"/>
      <c r="D2" s="891"/>
      <c r="E2" s="891"/>
      <c r="F2" s="891"/>
      <c r="G2" s="891"/>
      <c r="H2" s="891"/>
    </row>
    <row r="3" spans="1:8">
      <c r="B3" s="895" t="s">
        <v>11</v>
      </c>
      <c r="C3" s="895"/>
      <c r="D3" s="895"/>
      <c r="E3" s="895"/>
      <c r="F3" s="895"/>
      <c r="G3" s="895"/>
      <c r="H3" s="895"/>
    </row>
    <row r="4" spans="1:8" ht="28.8">
      <c r="B4" s="281" t="s">
        <v>5</v>
      </c>
      <c r="C4" s="281" t="s">
        <v>64</v>
      </c>
      <c r="D4" s="281" t="s">
        <v>7</v>
      </c>
      <c r="E4" s="281" t="s">
        <v>8</v>
      </c>
      <c r="F4" s="281" t="s">
        <v>267</v>
      </c>
      <c r="G4" s="281" t="s">
        <v>268</v>
      </c>
      <c r="H4" s="281" t="s">
        <v>10</v>
      </c>
    </row>
    <row r="5" spans="1:8">
      <c r="A5" s="283">
        <v>2023</v>
      </c>
      <c r="B5" s="896" t="s">
        <v>291</v>
      </c>
      <c r="C5" s="897"/>
      <c r="D5" s="897"/>
      <c r="E5" s="897"/>
      <c r="F5" s="897"/>
      <c r="G5" s="897"/>
      <c r="H5" s="898"/>
    </row>
    <row r="6" spans="1:8">
      <c r="A6" s="258" t="s">
        <v>287</v>
      </c>
      <c r="B6" s="279" t="str">
        <f>'6-x'!J79</f>
        <v/>
      </c>
      <c r="C6" s="279">
        <f>'6-x'!K79</f>
        <v>321.78101872731474</v>
      </c>
      <c r="D6" s="279">
        <f>'6-x'!L79</f>
        <v>1152.2877561030687</v>
      </c>
      <c r="E6" s="279">
        <f>'6-x'!M79</f>
        <v>297.30145928093441</v>
      </c>
      <c r="F6" s="279">
        <f>'6-x'!N79</f>
        <v>307.89433722391516</v>
      </c>
      <c r="G6" s="279">
        <f>'6-x'!O79</f>
        <v>1.6742015753691979</v>
      </c>
      <c r="H6" s="279">
        <f>'6-x'!P79</f>
        <v>309.91343967927526</v>
      </c>
    </row>
    <row r="7" spans="1:8">
      <c r="A7" s="257" t="s">
        <v>25</v>
      </c>
      <c r="B7" s="280" t="str">
        <f>'6-x'!J80</f>
        <v/>
      </c>
      <c r="C7" s="280">
        <f>'6-x'!K80</f>
        <v>292.96444041409234</v>
      </c>
      <c r="D7" s="280">
        <f>'6-x'!L80</f>
        <v>954.96436259773918</v>
      </c>
      <c r="E7" s="280">
        <f>'6-x'!M80</f>
        <v>308.56994243408138</v>
      </c>
      <c r="F7" s="280">
        <f>'6-x'!N80</f>
        <v>268.83896832477569</v>
      </c>
      <c r="G7" s="280">
        <f>'6-x'!O80</f>
        <v>1.6752194001256913</v>
      </c>
      <c r="H7" s="279">
        <f>'6-x'!P80</f>
        <v>237.53285845996442</v>
      </c>
    </row>
    <row r="8" spans="1:8">
      <c r="A8" s="257" t="s">
        <v>26</v>
      </c>
      <c r="B8" s="280" t="str">
        <f>'6-x'!J81</f>
        <v/>
      </c>
      <c r="C8" s="280">
        <f>'6-x'!K81</f>
        <v>269.55356038803848</v>
      </c>
      <c r="D8" s="280" t="str">
        <f>'6-x'!L81</f>
        <v/>
      </c>
      <c r="E8" s="280">
        <f>'6-x'!M81</f>
        <v>271.2132128921881</v>
      </c>
      <c r="F8" s="280">
        <f>'6-x'!N81</f>
        <v>290.64534929235691</v>
      </c>
      <c r="G8" s="280">
        <f>'6-x'!O81</f>
        <v>1.1777965046939147</v>
      </c>
      <c r="H8" s="279">
        <f>'6-x'!P81</f>
        <v>261.35127332343097</v>
      </c>
    </row>
    <row r="9" spans="1:8">
      <c r="A9" s="257" t="s">
        <v>27</v>
      </c>
      <c r="B9" s="280" t="str">
        <f>'6-x'!J82</f>
        <v/>
      </c>
      <c r="C9" s="280">
        <f>'6-x'!K82</f>
        <v>339.03739466129264</v>
      </c>
      <c r="D9" s="280">
        <f>'6-x'!L82</f>
        <v>1128.8585848946775</v>
      </c>
      <c r="E9" s="280">
        <f>'6-x'!M82</f>
        <v>319.37767693385524</v>
      </c>
      <c r="F9" s="280">
        <f>'6-x'!N82</f>
        <v>259.15535695969527</v>
      </c>
      <c r="G9" s="280">
        <f>'6-x'!O82</f>
        <v>1.6526782046166426</v>
      </c>
      <c r="H9" s="279">
        <f>'6-x'!P82</f>
        <v>333.60017116625863</v>
      </c>
    </row>
    <row r="10" spans="1:8">
      <c r="A10" s="257" t="s">
        <v>28</v>
      </c>
      <c r="B10" s="280">
        <f>'6-x'!J83</f>
        <v>0</v>
      </c>
      <c r="C10" s="280">
        <f>'6-x'!K83</f>
        <v>250.48588787157379</v>
      </c>
      <c r="D10" s="280" t="str">
        <f>'6-x'!L83</f>
        <v/>
      </c>
      <c r="E10" s="280">
        <f>'6-x'!M83</f>
        <v>253.23985154985141</v>
      </c>
      <c r="F10" s="280">
        <f>'6-x'!N83</f>
        <v>246.1360891832168</v>
      </c>
      <c r="G10" s="280" t="str">
        <f>'6-x'!O83</f>
        <v/>
      </c>
      <c r="H10" s="279">
        <f>'6-x'!P83</f>
        <v>245.90720650258328</v>
      </c>
    </row>
    <row r="11" spans="1:8">
      <c r="A11" s="257" t="s">
        <v>29</v>
      </c>
      <c r="B11" s="280" t="str">
        <f>'6-x'!J84</f>
        <v/>
      </c>
      <c r="C11" s="280">
        <f>'6-x'!K84</f>
        <v>428.4663247534844</v>
      </c>
      <c r="D11" s="280">
        <f>'6-x'!L84</f>
        <v>1265.2171448002196</v>
      </c>
      <c r="E11" s="280">
        <f>'6-x'!M84</f>
        <v>278.0086363736325</v>
      </c>
      <c r="F11" s="280">
        <f>'6-x'!N84</f>
        <v>397.02112093810837</v>
      </c>
      <c r="G11" s="280">
        <f>'6-x'!O84</f>
        <v>2.3482938269386833</v>
      </c>
      <c r="H11" s="279">
        <f>'6-x'!P84</f>
        <v>435.36890404418011</v>
      </c>
    </row>
    <row r="12" spans="1:8">
      <c r="A12" s="257" t="s">
        <v>388</v>
      </c>
      <c r="B12" s="280" t="str">
        <f>'6-x'!J85</f>
        <v/>
      </c>
      <c r="C12" s="280">
        <f>'6-x'!K85</f>
        <v>377.90251074388755</v>
      </c>
      <c r="D12" s="280" t="str">
        <f>'6-x'!L85</f>
        <v/>
      </c>
      <c r="E12" s="280" t="str">
        <f>'6-x'!M85</f>
        <v/>
      </c>
      <c r="F12" s="280" t="str">
        <f>'6-x'!N85</f>
        <v/>
      </c>
      <c r="G12" s="280" t="str">
        <f>'6-x'!O85</f>
        <v/>
      </c>
      <c r="H12" s="457">
        <f>'6-x'!P85</f>
        <v>377.90251074388755</v>
      </c>
    </row>
    <row r="13" spans="1:8">
      <c r="A13" s="268"/>
      <c r="B13" s="896" t="s">
        <v>292</v>
      </c>
      <c r="C13" s="897"/>
      <c r="D13" s="897"/>
      <c r="E13" s="897"/>
      <c r="F13" s="897"/>
      <c r="G13" s="897"/>
      <c r="H13" s="898"/>
    </row>
    <row r="14" spans="1:8">
      <c r="A14" s="258" t="s">
        <v>287</v>
      </c>
      <c r="B14" s="279" t="str">
        <f>'6-x'!J74</f>
        <v/>
      </c>
      <c r="C14" s="279">
        <f>'6-x'!K74</f>
        <v>238.68972457600574</v>
      </c>
      <c r="D14" s="279">
        <f>'6-x'!L74</f>
        <v>705.87393266618415</v>
      </c>
      <c r="E14" s="279">
        <f>'6-x'!M74</f>
        <v>239.57438953093236</v>
      </c>
      <c r="F14" s="279">
        <f>'6-x'!N74</f>
        <v>212.45751961954215</v>
      </c>
      <c r="G14" s="279">
        <f>'6-x'!O74</f>
        <v>0.24906956339403172</v>
      </c>
      <c r="H14" s="279">
        <f>'6-x'!P74</f>
        <v>225.08590369282564</v>
      </c>
    </row>
    <row r="15" spans="1:8" ht="15.6">
      <c r="A15" s="360"/>
      <c r="B15" s="360"/>
      <c r="C15" s="360"/>
      <c r="D15" s="360"/>
      <c r="E15" s="360"/>
      <c r="F15" s="360"/>
      <c r="G15" s="360"/>
      <c r="H15" s="360"/>
    </row>
    <row r="16" spans="1:8" ht="15.6">
      <c r="A16" s="360"/>
      <c r="B16" s="360"/>
      <c r="C16" s="360"/>
      <c r="D16" s="360"/>
      <c r="E16" s="360"/>
      <c r="F16" s="360"/>
      <c r="G16" s="360"/>
      <c r="H16" s="360"/>
    </row>
    <row r="17" spans="1:8">
      <c r="B17" s="895" t="s">
        <v>11</v>
      </c>
      <c r="C17" s="895"/>
      <c r="D17" s="895"/>
      <c r="E17" s="895"/>
      <c r="F17" s="895"/>
      <c r="G17" s="895"/>
      <c r="H17" s="895"/>
    </row>
    <row r="18" spans="1:8" ht="28.8">
      <c r="B18" s="281" t="s">
        <v>5</v>
      </c>
      <c r="C18" s="281" t="s">
        <v>64</v>
      </c>
      <c r="D18" s="281" t="s">
        <v>7</v>
      </c>
      <c r="E18" s="281" t="s">
        <v>8</v>
      </c>
      <c r="F18" s="281" t="s">
        <v>267</v>
      </c>
      <c r="G18" s="281" t="s">
        <v>268</v>
      </c>
      <c r="H18" s="281" t="s">
        <v>10</v>
      </c>
    </row>
    <row r="19" spans="1:8">
      <c r="A19" s="283">
        <v>2022</v>
      </c>
      <c r="B19" s="896" t="s">
        <v>291</v>
      </c>
      <c r="C19" s="897"/>
      <c r="D19" s="897"/>
      <c r="E19" s="897"/>
      <c r="F19" s="897"/>
      <c r="G19" s="897"/>
      <c r="H19" s="898"/>
    </row>
    <row r="20" spans="1:8">
      <c r="A20" s="258" t="s">
        <v>287</v>
      </c>
      <c r="B20" s="279" t="str">
        <f>'6-x'!J171</f>
        <v/>
      </c>
      <c r="C20" s="279">
        <f>'6-x'!K171</f>
        <v>318.64142326540025</v>
      </c>
      <c r="D20" s="279">
        <f>'6-x'!L171</f>
        <v>1350.7679082468089</v>
      </c>
      <c r="E20" s="279">
        <f>'6-x'!M171</f>
        <v>293.93023313984668</v>
      </c>
      <c r="F20" s="279">
        <f>'6-x'!N171</f>
        <v>286.84622392561801</v>
      </c>
      <c r="G20" s="279">
        <f>'6-x'!O171</f>
        <v>2.1954410209813919</v>
      </c>
      <c r="H20" s="279">
        <f>'6-x'!P171</f>
        <v>309.67345126790082</v>
      </c>
    </row>
    <row r="21" spans="1:8">
      <c r="A21" s="257" t="s">
        <v>25</v>
      </c>
      <c r="B21" s="280" t="str">
        <f>'6-x'!J172</f>
        <v/>
      </c>
      <c r="C21" s="280">
        <f>'6-x'!K172</f>
        <v>291.61969125049501</v>
      </c>
      <c r="D21" s="280">
        <f>'6-x'!L172</f>
        <v>1087.4102182197901</v>
      </c>
      <c r="E21" s="280">
        <f>'6-x'!M172</f>
        <v>309.98496562720777</v>
      </c>
      <c r="F21" s="280">
        <f>'6-x'!N172</f>
        <v>256.48457633812643</v>
      </c>
      <c r="G21" s="280">
        <f>'6-x'!O172</f>
        <v>2.1948274875283542</v>
      </c>
      <c r="H21" s="279">
        <f>'6-x'!P172</f>
        <v>235.97594164343755</v>
      </c>
    </row>
    <row r="22" spans="1:8">
      <c r="A22" s="257" t="s">
        <v>26</v>
      </c>
      <c r="B22" s="280" t="str">
        <f>'6-x'!J173</f>
        <v/>
      </c>
      <c r="C22" s="280">
        <f>'6-x'!K173</f>
        <v>269.51962145480212</v>
      </c>
      <c r="D22" s="280" t="str">
        <f>'6-x'!L173</f>
        <v/>
      </c>
      <c r="E22" s="280">
        <f>'6-x'!M173</f>
        <v>283.10422986494592</v>
      </c>
      <c r="F22" s="280">
        <f>'6-x'!N173</f>
        <v>259.95799098223841</v>
      </c>
      <c r="G22" s="280">
        <f>'6-x'!O173</f>
        <v>1.3418869627776677</v>
      </c>
      <c r="H22" s="279">
        <f>'6-x'!P173</f>
        <v>262.75538197764018</v>
      </c>
    </row>
    <row r="23" spans="1:8">
      <c r="A23" s="257" t="s">
        <v>27</v>
      </c>
      <c r="B23" s="280" t="str">
        <f>'6-x'!J174</f>
        <v/>
      </c>
      <c r="C23" s="280">
        <f>'6-x'!K174</f>
        <v>334.90452998079843</v>
      </c>
      <c r="D23" s="280">
        <f>'6-x'!L174</f>
        <v>1228.4033473274615</v>
      </c>
      <c r="E23" s="280">
        <f>'6-x'!M174</f>
        <v>311.71401768286756</v>
      </c>
      <c r="F23" s="280">
        <f>'6-x'!N174</f>
        <v>241.4025311324479</v>
      </c>
      <c r="G23" s="280">
        <f>'6-x'!O174</f>
        <v>2.4548901085941606</v>
      </c>
      <c r="H23" s="279">
        <f>'6-x'!P174</f>
        <v>328.77442852239966</v>
      </c>
    </row>
    <row r="24" spans="1:8">
      <c r="A24" s="257" t="s">
        <v>28</v>
      </c>
      <c r="B24" s="280">
        <f>'6-x'!J175</f>
        <v>0</v>
      </c>
      <c r="C24" s="280">
        <f>'6-x'!K175</f>
        <v>246.68247395453938</v>
      </c>
      <c r="D24" s="280" t="str">
        <f>'6-x'!L175</f>
        <v/>
      </c>
      <c r="E24" s="280">
        <f>'6-x'!M175</f>
        <v>256.95999975527633</v>
      </c>
      <c r="F24" s="280">
        <f>'6-x'!N175</f>
        <v>223.53358582376708</v>
      </c>
      <c r="G24" s="280">
        <f>'6-x'!O175</f>
        <v>0</v>
      </c>
      <c r="H24" s="279">
        <f>'6-x'!P175</f>
        <v>236.21869882494542</v>
      </c>
    </row>
    <row r="25" spans="1:8">
      <c r="A25" s="257" t="s">
        <v>29</v>
      </c>
      <c r="B25" s="280" t="str">
        <f>'6-x'!J176</f>
        <v/>
      </c>
      <c r="C25" s="280">
        <f>'6-x'!K176</f>
        <v>392.5517260826432</v>
      </c>
      <c r="D25" s="280">
        <f>'6-x'!L176</f>
        <v>1569.448708261561</v>
      </c>
      <c r="E25" s="280">
        <f>'6-x'!M176</f>
        <v>277.60641484366784</v>
      </c>
      <c r="F25" s="280">
        <f>'6-x'!N176</f>
        <v>375.86509172752869</v>
      </c>
      <c r="G25" s="280">
        <f>'6-x'!O176</f>
        <v>1.9896829263810512</v>
      </c>
      <c r="H25" s="279">
        <f>'6-x'!P176</f>
        <v>458.61677714091371</v>
      </c>
    </row>
    <row r="26" spans="1:8">
      <c r="A26" s="257" t="s">
        <v>388</v>
      </c>
      <c r="B26" s="280" t="str">
        <f>'6-x'!J177</f>
        <v/>
      </c>
      <c r="C26" s="280">
        <f>'6-x'!K177</f>
        <v>329.87403542930923</v>
      </c>
      <c r="D26" s="280" t="str">
        <f>'6-x'!L177</f>
        <v/>
      </c>
      <c r="E26" s="280">
        <f>'6-x'!M177</f>
        <v>0</v>
      </c>
      <c r="F26" s="280" t="str">
        <f>'6-x'!N177</f>
        <v/>
      </c>
      <c r="G26" s="280">
        <f>'6-x'!O177</f>
        <v>0</v>
      </c>
      <c r="H26" s="457">
        <f>'6-x'!P177</f>
        <v>307.98096589669666</v>
      </c>
    </row>
    <row r="27" spans="1:8">
      <c r="A27" s="268"/>
      <c r="B27" s="896" t="s">
        <v>292</v>
      </c>
      <c r="C27" s="897"/>
      <c r="D27" s="897"/>
      <c r="E27" s="897"/>
      <c r="F27" s="897"/>
      <c r="G27" s="897"/>
      <c r="H27" s="898"/>
    </row>
    <row r="28" spans="1:8">
      <c r="A28" s="258" t="s">
        <v>287</v>
      </c>
      <c r="B28" s="279" t="str">
        <f>'6-x'!J166</f>
        <v/>
      </c>
      <c r="C28" s="279">
        <f>'6-x'!K166</f>
        <v>236.82063564162172</v>
      </c>
      <c r="D28" s="279">
        <f>'6-x'!L166</f>
        <v>706.66011635748339</v>
      </c>
      <c r="E28" s="279">
        <f>'6-x'!M166</f>
        <v>239.49845684612964</v>
      </c>
      <c r="F28" s="279">
        <f>'6-x'!N166</f>
        <v>212.34806499094208</v>
      </c>
      <c r="G28" s="279">
        <f>'6-x'!O166</f>
        <v>0.26336302768481046</v>
      </c>
      <c r="H28" s="279">
        <f>'6-x'!P166</f>
        <v>223.83259316460581</v>
      </c>
    </row>
    <row r="29" spans="1:8" ht="15.6">
      <c r="A29" s="360"/>
      <c r="B29" s="201"/>
      <c r="C29" s="201"/>
      <c r="D29" s="201"/>
      <c r="E29" s="201"/>
      <c r="F29" s="201"/>
      <c r="G29" s="201"/>
      <c r="H29" s="201"/>
    </row>
    <row r="30" spans="1:8" ht="15.6">
      <c r="A30" s="360"/>
      <c r="B30" s="360"/>
      <c r="C30" s="360"/>
      <c r="D30" s="360"/>
      <c r="E30" s="360"/>
      <c r="F30" s="360"/>
      <c r="G30" s="360"/>
      <c r="H30" s="360"/>
    </row>
    <row r="31" spans="1:8">
      <c r="B31" s="895" t="s">
        <v>11</v>
      </c>
      <c r="C31" s="895"/>
      <c r="D31" s="895"/>
      <c r="E31" s="895"/>
      <c r="F31" s="895"/>
      <c r="G31" s="895"/>
      <c r="H31" s="895"/>
    </row>
    <row r="32" spans="1:8" ht="28.8">
      <c r="B32" s="281" t="s">
        <v>5</v>
      </c>
      <c r="C32" s="281" t="s">
        <v>64</v>
      </c>
      <c r="D32" s="281" t="s">
        <v>7</v>
      </c>
      <c r="E32" s="281" t="s">
        <v>8</v>
      </c>
      <c r="F32" s="281" t="s">
        <v>267</v>
      </c>
      <c r="G32" s="281" t="s">
        <v>268</v>
      </c>
      <c r="H32" s="281" t="s">
        <v>10</v>
      </c>
    </row>
    <row r="33" spans="1:8">
      <c r="A33" s="283">
        <v>2021</v>
      </c>
      <c r="B33" s="896" t="s">
        <v>291</v>
      </c>
      <c r="C33" s="897"/>
      <c r="D33" s="897"/>
      <c r="E33" s="897"/>
      <c r="F33" s="897"/>
      <c r="G33" s="897"/>
      <c r="H33" s="898"/>
    </row>
    <row r="34" spans="1:8">
      <c r="A34" s="258" t="s">
        <v>287</v>
      </c>
      <c r="B34" s="279" t="str">
        <f>'6-x'!J263</f>
        <v/>
      </c>
      <c r="C34" s="279">
        <f>'6-x'!K263</f>
        <v>315.83409187130189</v>
      </c>
      <c r="D34" s="279">
        <f>'6-x'!L263</f>
        <v>1518.6171478885256</v>
      </c>
      <c r="E34" s="279">
        <f>'6-x'!M263</f>
        <v>295.16575994944697</v>
      </c>
      <c r="F34" s="279">
        <f>'6-x'!N263</f>
        <v>225.85007614419371</v>
      </c>
      <c r="G34" s="279">
        <f>'6-x'!O263</f>
        <v>3.4311142911008949</v>
      </c>
      <c r="H34" s="279">
        <f>'6-x'!P263</f>
        <v>304.95098788917056</v>
      </c>
    </row>
    <row r="35" spans="1:8">
      <c r="A35" s="257" t="s">
        <v>25</v>
      </c>
      <c r="B35" s="280" t="str">
        <f>'6-x'!J264</f>
        <v/>
      </c>
      <c r="C35" s="280">
        <f>'6-x'!K264</f>
        <v>291.93702857451171</v>
      </c>
      <c r="D35" s="280">
        <f>'6-x'!L264</f>
        <v>1074.90366102557</v>
      </c>
      <c r="E35" s="280">
        <f>'6-x'!M264</f>
        <v>336.40738364704561</v>
      </c>
      <c r="F35" s="280">
        <f>'6-x'!N264</f>
        <v>197.40086227669335</v>
      </c>
      <c r="G35" s="280">
        <f>'6-x'!O264</f>
        <v>3.4302252273920075</v>
      </c>
      <c r="H35" s="279">
        <f>'6-x'!P264</f>
        <v>229.80422302426274</v>
      </c>
    </row>
    <row r="36" spans="1:8">
      <c r="A36" s="257" t="s">
        <v>26</v>
      </c>
      <c r="B36" s="280" t="str">
        <f>'6-x'!J265</f>
        <v/>
      </c>
      <c r="C36" s="280">
        <f>'6-x'!K265</f>
        <v>273.43779919586621</v>
      </c>
      <c r="D36" s="280" t="str">
        <f>'6-x'!L265</f>
        <v/>
      </c>
      <c r="E36" s="280">
        <f>'6-x'!M265</f>
        <v>278.84166504532493</v>
      </c>
      <c r="F36" s="280">
        <f>'6-x'!N265</f>
        <v>191.88270404574519</v>
      </c>
      <c r="G36" s="280">
        <f>'6-x'!O265</f>
        <v>2.1199899642153452</v>
      </c>
      <c r="H36" s="279">
        <f>'6-x'!P265</f>
        <v>261.92335720671633</v>
      </c>
    </row>
    <row r="37" spans="1:8">
      <c r="A37" s="257" t="s">
        <v>27</v>
      </c>
      <c r="B37" s="280" t="str">
        <f>'6-x'!J266</f>
        <v/>
      </c>
      <c r="C37" s="280">
        <f>'6-x'!K266</f>
        <v>331.66136632990094</v>
      </c>
      <c r="D37" s="280">
        <f>'6-x'!L266</f>
        <v>1347.2741177107625</v>
      </c>
      <c r="E37" s="280">
        <f>'6-x'!M266</f>
        <v>320.0207780005469</v>
      </c>
      <c r="F37" s="280">
        <f>'6-x'!N266</f>
        <v>178.81881425911305</v>
      </c>
      <c r="G37" s="280">
        <f>'6-x'!O266</f>
        <v>3.8931402794742462</v>
      </c>
      <c r="H37" s="279">
        <f>'6-x'!P266</f>
        <v>331.18991903502319</v>
      </c>
    </row>
    <row r="38" spans="1:8">
      <c r="A38" s="257" t="s">
        <v>28</v>
      </c>
      <c r="B38" s="280">
        <f>'6-x'!J267</f>
        <v>0</v>
      </c>
      <c r="C38" s="280">
        <f>'6-x'!K267</f>
        <v>250.36373393073393</v>
      </c>
      <c r="D38" s="280" t="str">
        <f>'6-x'!L267</f>
        <v/>
      </c>
      <c r="E38" s="280">
        <f>'6-x'!M267</f>
        <v>253.11265264944473</v>
      </c>
      <c r="F38" s="280">
        <f>'6-x'!N267</f>
        <v>172.2183584249039</v>
      </c>
      <c r="G38" s="280">
        <f>'6-x'!O267</f>
        <v>0</v>
      </c>
      <c r="H38" s="279">
        <f>'6-x'!P267</f>
        <v>223.3119904700815</v>
      </c>
    </row>
    <row r="39" spans="1:8">
      <c r="A39" s="257" t="s">
        <v>29</v>
      </c>
      <c r="B39" s="280" t="str">
        <f>'6-x'!J268</f>
        <v/>
      </c>
      <c r="C39" s="280">
        <f>'6-x'!K268</f>
        <v>380.70062444867119</v>
      </c>
      <c r="D39" s="280">
        <f>'6-x'!L268</f>
        <v>1896.1739713493712</v>
      </c>
      <c r="E39" s="280">
        <f>'6-x'!M268</f>
        <v>273.18977566056037</v>
      </c>
      <c r="F39" s="280">
        <f>'6-x'!N268</f>
        <v>282.98606663580773</v>
      </c>
      <c r="G39" s="280">
        <f>'6-x'!O268</f>
        <v>3.13944712859456</v>
      </c>
      <c r="H39" s="279">
        <f>'6-x'!P268</f>
        <v>430.20561984876019</v>
      </c>
    </row>
    <row r="40" spans="1:8">
      <c r="A40" s="257" t="s">
        <v>388</v>
      </c>
      <c r="B40" s="280" t="str">
        <f>'6-x'!J269</f>
        <v/>
      </c>
      <c r="C40" s="280">
        <f>'6-x'!K269</f>
        <v>351.10093911596408</v>
      </c>
      <c r="D40" s="280" t="str">
        <f>'6-x'!L269</f>
        <v/>
      </c>
      <c r="E40" s="280">
        <f>'6-x'!M269</f>
        <v>0</v>
      </c>
      <c r="F40" s="280" t="str">
        <f>'6-x'!N269</f>
        <v/>
      </c>
      <c r="G40" s="280">
        <f>'6-x'!O269</f>
        <v>0</v>
      </c>
      <c r="H40" s="457">
        <f>'6-x'!P269</f>
        <v>335.50474806609827</v>
      </c>
    </row>
    <row r="41" spans="1:8">
      <c r="A41" s="268"/>
      <c r="B41" s="896" t="s">
        <v>292</v>
      </c>
      <c r="C41" s="897"/>
      <c r="D41" s="897"/>
      <c r="E41" s="897"/>
      <c r="F41" s="897"/>
      <c r="G41" s="897"/>
      <c r="H41" s="898"/>
    </row>
    <row r="42" spans="1:8">
      <c r="A42" s="258" t="s">
        <v>287</v>
      </c>
      <c r="B42" s="279" t="str">
        <f>'6-x'!J258</f>
        <v/>
      </c>
      <c r="C42" s="279">
        <f>'6-x'!K258</f>
        <v>234.23506424386622</v>
      </c>
      <c r="D42" s="279">
        <f>'6-x'!L258</f>
        <v>644.24574217282384</v>
      </c>
      <c r="E42" s="279">
        <f>'6-x'!M258</f>
        <v>239.12298872188111</v>
      </c>
      <c r="F42" s="279">
        <f>'6-x'!N258</f>
        <v>164.80656764850795</v>
      </c>
      <c r="G42" s="279">
        <f>'6-x'!O258</f>
        <v>0.28473952672769887</v>
      </c>
      <c r="H42" s="279">
        <f>'6-x'!P258</f>
        <v>213.69734776364754</v>
      </c>
    </row>
    <row r="43" spans="1:8" ht="15.6">
      <c r="A43" s="360"/>
      <c r="B43" s="201"/>
      <c r="C43" s="201"/>
      <c r="D43" s="201"/>
      <c r="E43" s="201"/>
      <c r="F43" s="201"/>
      <c r="G43" s="201"/>
      <c r="H43" s="201"/>
    </row>
    <row r="44" spans="1:8" ht="15.6">
      <c r="A44" s="360"/>
      <c r="B44" s="360"/>
      <c r="C44" s="360"/>
      <c r="D44" s="360"/>
      <c r="E44" s="360"/>
      <c r="F44" s="360"/>
      <c r="G44" s="360"/>
      <c r="H44" s="360"/>
    </row>
    <row r="45" spans="1:8">
      <c r="B45" s="895" t="s">
        <v>11</v>
      </c>
      <c r="C45" s="895"/>
      <c r="D45" s="895"/>
      <c r="E45" s="895"/>
      <c r="F45" s="895"/>
      <c r="G45" s="895"/>
      <c r="H45" s="895"/>
    </row>
    <row r="46" spans="1:8" ht="28.8">
      <c r="B46" s="281" t="s">
        <v>5</v>
      </c>
      <c r="C46" s="281" t="s">
        <v>64</v>
      </c>
      <c r="D46" s="281" t="s">
        <v>7</v>
      </c>
      <c r="E46" s="281" t="s">
        <v>8</v>
      </c>
      <c r="F46" s="281" t="s">
        <v>267</v>
      </c>
      <c r="G46" s="281" t="s">
        <v>268</v>
      </c>
      <c r="H46" s="281" t="s">
        <v>10</v>
      </c>
    </row>
    <row r="47" spans="1:8">
      <c r="A47" s="283">
        <v>2020</v>
      </c>
      <c r="B47" s="896" t="s">
        <v>291</v>
      </c>
      <c r="C47" s="897"/>
      <c r="D47" s="897"/>
      <c r="E47" s="897"/>
      <c r="F47" s="897"/>
      <c r="G47" s="897"/>
      <c r="H47" s="898"/>
    </row>
    <row r="48" spans="1:8">
      <c r="A48" s="258" t="s">
        <v>287</v>
      </c>
      <c r="B48" s="279">
        <f>'6-x'!J355</f>
        <v>384.73516324478692</v>
      </c>
      <c r="C48" s="279">
        <f>'6-x'!K355</f>
        <v>315.35440638206154</v>
      </c>
      <c r="D48" s="279">
        <f>'6-x'!L355</f>
        <v>1141.8895145730871</v>
      </c>
      <c r="E48" s="279">
        <f>'6-x'!M355</f>
        <v>288.30959568789888</v>
      </c>
      <c r="F48" s="279">
        <f>'6-x'!N355</f>
        <v>244.66040579533549</v>
      </c>
      <c r="G48" s="279">
        <f>'6-x'!O355</f>
        <v>5.4550124198638814</v>
      </c>
      <c r="H48" s="279">
        <f>'6-x'!P355</f>
        <v>299.12601651082991</v>
      </c>
    </row>
    <row r="49" spans="1:10">
      <c r="A49" s="257" t="s">
        <v>25</v>
      </c>
      <c r="B49" s="280" t="str">
        <f>'6-x'!J356</f>
        <v/>
      </c>
      <c r="C49" s="280">
        <f>'6-x'!K356</f>
        <v>295.19357907561096</v>
      </c>
      <c r="D49" s="280">
        <f>'6-x'!L356</f>
        <v>919.74483605487717</v>
      </c>
      <c r="E49" s="280">
        <f>'6-x'!M356</f>
        <v>312.01732196485858</v>
      </c>
      <c r="F49" s="280">
        <f>'6-x'!N356</f>
        <v>224.48016413288093</v>
      </c>
      <c r="G49" s="280">
        <f>'6-x'!O356</f>
        <v>5.4526752848500157</v>
      </c>
      <c r="H49" s="279">
        <f>'6-x'!P356</f>
        <v>230.70898090572157</v>
      </c>
      <c r="J49" s="201"/>
    </row>
    <row r="50" spans="1:10">
      <c r="A50" s="257" t="s">
        <v>26</v>
      </c>
      <c r="B50" s="280" t="str">
        <f>'6-x'!J357</f>
        <v/>
      </c>
      <c r="C50" s="280">
        <f>'6-x'!K357</f>
        <v>279.12476496151066</v>
      </c>
      <c r="D50" s="280" t="str">
        <f>'6-x'!L357</f>
        <v/>
      </c>
      <c r="E50" s="280">
        <f>'6-x'!M357</f>
        <v>276.47309223001082</v>
      </c>
      <c r="F50" s="280">
        <f>'6-x'!N357</f>
        <v>201.55801339357038</v>
      </c>
      <c r="G50" s="280">
        <f>'6-x'!O357</f>
        <v>5.3767650080609037</v>
      </c>
      <c r="H50" s="279">
        <f>'6-x'!P357</f>
        <v>266.88802653768272</v>
      </c>
      <c r="J50" s="201"/>
    </row>
    <row r="51" spans="1:10">
      <c r="A51" s="257" t="s">
        <v>27</v>
      </c>
      <c r="B51" s="280" t="str">
        <f>'6-x'!J358</f>
        <v/>
      </c>
      <c r="C51" s="280">
        <f>'6-x'!K358</f>
        <v>325.21200060799936</v>
      </c>
      <c r="D51" s="280">
        <f>'6-x'!L358</f>
        <v>1109.7388702694323</v>
      </c>
      <c r="E51" s="280">
        <f>'6-x'!M358</f>
        <v>306.77096097401977</v>
      </c>
      <c r="F51" s="280">
        <f>'6-x'!N358</f>
        <v>215.41420303182542</v>
      </c>
      <c r="G51" s="280">
        <f>'6-x'!O358</f>
        <v>5.9190383576092547</v>
      </c>
      <c r="H51" s="279">
        <f>'6-x'!P358</f>
        <v>319.57191185104733</v>
      </c>
      <c r="J51" s="201"/>
    </row>
    <row r="52" spans="1:10">
      <c r="A52" s="257" t="s">
        <v>28</v>
      </c>
      <c r="B52" s="280">
        <f>'6-x'!J359</f>
        <v>0</v>
      </c>
      <c r="C52" s="280">
        <f>'6-x'!K359</f>
        <v>246.17927760998933</v>
      </c>
      <c r="D52" s="280" t="str">
        <f>'6-x'!L359</f>
        <v/>
      </c>
      <c r="E52" s="280">
        <f>'6-x'!M359</f>
        <v>263.04014408914765</v>
      </c>
      <c r="F52" s="280">
        <f>'6-x'!N359</f>
        <v>188.7398334647113</v>
      </c>
      <c r="G52" s="280">
        <f>'6-x'!O359</f>
        <v>0.16234713011758573</v>
      </c>
      <c r="H52" s="279">
        <f>'6-x'!P359</f>
        <v>229.33856472654486</v>
      </c>
      <c r="J52" s="201"/>
    </row>
    <row r="53" spans="1:10">
      <c r="A53" s="257" t="s">
        <v>29</v>
      </c>
      <c r="B53" s="280">
        <f>'6-x'!J360</f>
        <v>384.74662582047694</v>
      </c>
      <c r="C53" s="280">
        <f>'6-x'!K360</f>
        <v>375.87762055369507</v>
      </c>
      <c r="D53" s="280">
        <f>'6-x'!L360</f>
        <v>1245.9546795950014</v>
      </c>
      <c r="E53" s="280">
        <f>'6-x'!M360</f>
        <v>254.06388293827249</v>
      </c>
      <c r="F53" s="280">
        <f>'6-x'!N360</f>
        <v>290.07945746682543</v>
      </c>
      <c r="G53" s="280">
        <f>'6-x'!O360</f>
        <v>6.7041136987310512</v>
      </c>
      <c r="H53" s="279">
        <f>'6-x'!P360</f>
        <v>365.88367275412577</v>
      </c>
      <c r="J53" s="201"/>
    </row>
    <row r="54" spans="1:10">
      <c r="A54" s="257" t="s">
        <v>388</v>
      </c>
      <c r="B54" s="280" t="str">
        <f>'6-x'!J361</f>
        <v/>
      </c>
      <c r="C54" s="280">
        <f>'6-x'!K361</f>
        <v>0</v>
      </c>
      <c r="D54" s="280" t="str">
        <f>'6-x'!L361</f>
        <v/>
      </c>
      <c r="E54" s="280" t="str">
        <f>'6-x'!M361</f>
        <v/>
      </c>
      <c r="F54" s="280" t="str">
        <f>'6-x'!N361</f>
        <v/>
      </c>
      <c r="G54" s="280">
        <f>'6-x'!O361</f>
        <v>0</v>
      </c>
      <c r="H54" s="457">
        <f>'6-x'!P361</f>
        <v>0</v>
      </c>
      <c r="J54" s="201"/>
    </row>
    <row r="55" spans="1:10">
      <c r="A55" s="268"/>
      <c r="B55" s="896" t="s">
        <v>292</v>
      </c>
      <c r="C55" s="897"/>
      <c r="D55" s="897"/>
      <c r="E55" s="897"/>
      <c r="F55" s="897"/>
      <c r="G55" s="897"/>
      <c r="H55" s="898"/>
    </row>
    <row r="56" spans="1:10">
      <c r="A56" s="258" t="s">
        <v>287</v>
      </c>
      <c r="B56" s="279">
        <f>'6-x'!J350</f>
        <v>376.54954041595386</v>
      </c>
      <c r="C56" s="279">
        <f>'6-x'!K350</f>
        <v>233.46529246169149</v>
      </c>
      <c r="D56" s="279">
        <f>'6-x'!L350</f>
        <v>697.24739339393932</v>
      </c>
      <c r="E56" s="279">
        <f>'6-x'!M350</f>
        <v>240.28235797192636</v>
      </c>
      <c r="F56" s="279">
        <f>'6-x'!N350</f>
        <v>167.39316078491635</v>
      </c>
      <c r="G56" s="279">
        <f>'6-x'!O350</f>
        <v>0.30194053520579361</v>
      </c>
      <c r="H56" s="279">
        <f>'6-x'!P350</f>
        <v>215.0306605910435</v>
      </c>
    </row>
    <row r="57" spans="1:10" ht="15.6">
      <c r="A57" s="360"/>
      <c r="B57" s="201"/>
      <c r="C57" s="201"/>
      <c r="D57" s="201"/>
      <c r="E57" s="201"/>
      <c r="F57" s="201"/>
      <c r="G57" s="201"/>
      <c r="H57" s="201"/>
    </row>
    <row r="58" spans="1:10" ht="15.6">
      <c r="A58" s="360"/>
      <c r="B58" s="360"/>
      <c r="C58" s="360"/>
      <c r="D58" s="360"/>
      <c r="E58" s="360"/>
      <c r="F58" s="360"/>
      <c r="G58" s="360"/>
      <c r="H58" s="360"/>
    </row>
    <row r="59" spans="1:10">
      <c r="B59" s="895" t="s">
        <v>11</v>
      </c>
      <c r="C59" s="895"/>
      <c r="D59" s="895"/>
      <c r="E59" s="895"/>
      <c r="F59" s="895"/>
      <c r="G59" s="895"/>
      <c r="H59" s="895"/>
    </row>
    <row r="60" spans="1:10" ht="28.8">
      <c r="B60" s="281" t="s">
        <v>5</v>
      </c>
      <c r="C60" s="281" t="s">
        <v>64</v>
      </c>
      <c r="D60" s="281" t="s">
        <v>7</v>
      </c>
      <c r="E60" s="281" t="s">
        <v>8</v>
      </c>
      <c r="F60" s="281" t="s">
        <v>267</v>
      </c>
      <c r="G60" s="281" t="s">
        <v>268</v>
      </c>
      <c r="H60" s="281" t="s">
        <v>10</v>
      </c>
    </row>
    <row r="61" spans="1:10">
      <c r="A61" s="283">
        <v>2019</v>
      </c>
      <c r="B61" s="896" t="s">
        <v>291</v>
      </c>
      <c r="C61" s="897"/>
      <c r="D61" s="897"/>
      <c r="E61" s="897"/>
      <c r="F61" s="897"/>
      <c r="G61" s="897"/>
      <c r="H61" s="898"/>
    </row>
    <row r="62" spans="1:10">
      <c r="A62" s="258" t="s">
        <v>287</v>
      </c>
      <c r="B62" s="279">
        <f>'6-x'!J447</f>
        <v>393.15977340913895</v>
      </c>
      <c r="C62" s="279">
        <f>'6-x'!K447</f>
        <v>316.33605271872926</v>
      </c>
      <c r="D62" s="279">
        <f>'6-x'!L447</f>
        <v>1152.3677137425386</v>
      </c>
      <c r="E62" s="279">
        <f>'6-x'!M447</f>
        <v>292.40692919758862</v>
      </c>
      <c r="F62" s="279">
        <f>'6-x'!N447</f>
        <v>243.98080642506869</v>
      </c>
      <c r="G62" s="279">
        <f>'6-x'!O447</f>
        <v>5.2775195134903825</v>
      </c>
      <c r="H62" s="279">
        <f>'6-x'!P447</f>
        <v>307.46769847605538</v>
      </c>
    </row>
    <row r="63" spans="1:10">
      <c r="A63" s="257" t="s">
        <v>25</v>
      </c>
      <c r="B63" s="280" t="str">
        <f>'6-x'!J448</f>
        <v/>
      </c>
      <c r="C63" s="280">
        <f>'6-x'!K448</f>
        <v>287.61701343136485</v>
      </c>
      <c r="D63" s="280">
        <f>'6-x'!L448</f>
        <v>933.4807244664272</v>
      </c>
      <c r="E63" s="280">
        <f>'6-x'!M448</f>
        <v>357.28059426495827</v>
      </c>
      <c r="F63" s="280">
        <f>'6-x'!N448</f>
        <v>220.64699590674954</v>
      </c>
      <c r="G63" s="280">
        <f>'6-x'!O448</f>
        <v>5.2807634087867985</v>
      </c>
      <c r="H63" s="279">
        <f>'6-x'!P448</f>
        <v>228.16951073582018</v>
      </c>
      <c r="J63" s="56"/>
    </row>
    <row r="64" spans="1:10">
      <c r="A64" s="257" t="s">
        <v>26</v>
      </c>
      <c r="B64" s="280" t="str">
        <f>'6-x'!J449</f>
        <v/>
      </c>
      <c r="C64" s="280">
        <f>'6-x'!K449</f>
        <v>278.71771257486262</v>
      </c>
      <c r="D64" s="280" t="str">
        <f>'6-x'!L449</f>
        <v/>
      </c>
      <c r="E64" s="280">
        <f>'6-x'!M449</f>
        <v>287.03721285201419</v>
      </c>
      <c r="F64" s="280">
        <f>'6-x'!N449</f>
        <v>187.91240108997104</v>
      </c>
      <c r="G64" s="280">
        <f>'6-x'!O449</f>
        <v>3.9198056444969378</v>
      </c>
      <c r="H64" s="279">
        <f>'6-x'!P449</f>
        <v>269.34011053546226</v>
      </c>
      <c r="J64" s="56"/>
    </row>
    <row r="65" spans="1:17">
      <c r="A65" s="257" t="s">
        <v>27</v>
      </c>
      <c r="B65" s="280" t="str">
        <f>'6-x'!J450</f>
        <v/>
      </c>
      <c r="C65" s="280">
        <f>'6-x'!K450</f>
        <v>328.10714088243873</v>
      </c>
      <c r="D65" s="280">
        <f>'6-x'!L450</f>
        <v>1116.8390311061103</v>
      </c>
      <c r="E65" s="280">
        <f>'6-x'!M450</f>
        <v>305.51644982607706</v>
      </c>
      <c r="F65" s="280">
        <f>'6-x'!N450</f>
        <v>230.21817690816783</v>
      </c>
      <c r="G65" s="280">
        <f>'6-x'!O450</f>
        <v>5.4520958552135479</v>
      </c>
      <c r="H65" s="279">
        <f>'6-x'!P450</f>
        <v>330.87167534738006</v>
      </c>
      <c r="J65" s="56"/>
    </row>
    <row r="66" spans="1:17">
      <c r="A66" s="257" t="s">
        <v>28</v>
      </c>
      <c r="B66" s="280">
        <f>'6-x'!J451</f>
        <v>394.76780301028072</v>
      </c>
      <c r="C66" s="280">
        <f>'6-x'!K451</f>
        <v>245.62931886097738</v>
      </c>
      <c r="D66" s="280" t="str">
        <f>'6-x'!L451</f>
        <v/>
      </c>
      <c r="E66" s="280">
        <f>'6-x'!M451</f>
        <v>251.20407208228247</v>
      </c>
      <c r="F66" s="280">
        <f>'6-x'!N451</f>
        <v>179.76642360549482</v>
      </c>
      <c r="G66" s="280" t="str">
        <f>'6-x'!O451</f>
        <v/>
      </c>
      <c r="H66" s="279">
        <f>'6-x'!P451</f>
        <v>230.25154585550519</v>
      </c>
      <c r="J66" s="56"/>
    </row>
    <row r="67" spans="1:17">
      <c r="A67" s="257" t="s">
        <v>29</v>
      </c>
      <c r="B67" s="280">
        <f>'6-x'!J452</f>
        <v>392.86802753390555</v>
      </c>
      <c r="C67" s="280">
        <f>'6-x'!K452</f>
        <v>387.05817261966138</v>
      </c>
      <c r="D67" s="280">
        <f>'6-x'!L452</f>
        <v>1286.6486490688317</v>
      </c>
      <c r="E67" s="280">
        <f>'6-x'!M452</f>
        <v>281.73776546059725</v>
      </c>
      <c r="F67" s="280">
        <f>'6-x'!N452</f>
        <v>277.76345103078228</v>
      </c>
      <c r="G67" s="280">
        <f>'6-x'!O452</f>
        <v>3.6504044720854059</v>
      </c>
      <c r="H67" s="279">
        <f>'6-x'!P452</f>
        <v>380.52300101836653</v>
      </c>
      <c r="J67" s="56"/>
    </row>
    <row r="68" spans="1:17">
      <c r="A68" s="257" t="s">
        <v>388</v>
      </c>
      <c r="B68" s="280" t="str">
        <f>'6-x'!J453</f>
        <v/>
      </c>
      <c r="C68" s="280">
        <f>'6-x'!K453</f>
        <v>0</v>
      </c>
      <c r="D68" s="280" t="str">
        <f>'6-x'!L453</f>
        <v/>
      </c>
      <c r="E68" s="280" t="str">
        <f>'6-x'!M453</f>
        <v/>
      </c>
      <c r="F68" s="280" t="str">
        <f>'6-x'!N453</f>
        <v/>
      </c>
      <c r="G68" s="280">
        <f>'6-x'!O453</f>
        <v>0</v>
      </c>
      <c r="H68" s="457">
        <f>'6-x'!P453</f>
        <v>0</v>
      </c>
      <c r="J68" s="56"/>
    </row>
    <row r="69" spans="1:17">
      <c r="A69" s="268"/>
      <c r="B69" s="896" t="s">
        <v>292</v>
      </c>
      <c r="C69" s="897"/>
      <c r="D69" s="897"/>
      <c r="E69" s="897"/>
      <c r="F69" s="897"/>
      <c r="G69" s="897"/>
      <c r="H69" s="898"/>
      <c r="J69" s="56"/>
    </row>
    <row r="70" spans="1:17">
      <c r="A70" s="258" t="s">
        <v>287</v>
      </c>
      <c r="B70" s="279">
        <f>'6-x'!J442</f>
        <v>385.27065034388858</v>
      </c>
      <c r="C70" s="279">
        <f>'6-x'!K442</f>
        <v>232.88487332730634</v>
      </c>
      <c r="D70" s="279">
        <f>'6-x'!L442</f>
        <v>692.90179057376065</v>
      </c>
      <c r="E70" s="279">
        <f>'6-x'!M442</f>
        <v>236.31576499309134</v>
      </c>
      <c r="F70" s="279">
        <f>'6-x'!N442</f>
        <v>152.31865177369903</v>
      </c>
      <c r="G70" s="279">
        <f>'6-x'!O442</f>
        <v>0.85370191382798988</v>
      </c>
      <c r="H70" s="279">
        <f>'6-x'!P442</f>
        <v>216.38342470700459</v>
      </c>
      <c r="J70" s="56"/>
    </row>
    <row r="71" spans="1:17" ht="15.6">
      <c r="A71" s="360"/>
      <c r="B71" s="360"/>
      <c r="C71" s="360"/>
      <c r="D71" s="360"/>
      <c r="E71" s="360"/>
      <c r="F71" s="360"/>
      <c r="G71" s="360"/>
      <c r="H71" s="360"/>
    </row>
    <row r="72" spans="1:17" ht="15.6">
      <c r="A72" s="360"/>
      <c r="B72" s="56"/>
      <c r="C72" s="56"/>
      <c r="D72" s="56"/>
      <c r="E72" s="56"/>
      <c r="F72" s="56"/>
      <c r="G72" s="56"/>
      <c r="H72" s="56"/>
    </row>
    <row r="73" spans="1:17">
      <c r="B73" s="895" t="s">
        <v>11</v>
      </c>
      <c r="C73" s="895"/>
      <c r="D73" s="895"/>
      <c r="E73" s="895"/>
      <c r="F73" s="895"/>
      <c r="G73" s="895"/>
      <c r="H73" s="895"/>
    </row>
    <row r="74" spans="1:17" ht="28.8">
      <c r="B74" s="281" t="s">
        <v>5</v>
      </c>
      <c r="C74" s="281" t="s">
        <v>64</v>
      </c>
      <c r="D74" s="281" t="s">
        <v>7</v>
      </c>
      <c r="E74" s="281" t="s">
        <v>8</v>
      </c>
      <c r="F74" s="281" t="s">
        <v>267</v>
      </c>
      <c r="G74" s="281" t="s">
        <v>268</v>
      </c>
      <c r="H74" s="281" t="s">
        <v>10</v>
      </c>
    </row>
    <row r="75" spans="1:17">
      <c r="A75" s="283">
        <v>2018</v>
      </c>
      <c r="B75" s="896" t="s">
        <v>291</v>
      </c>
      <c r="C75" s="897"/>
      <c r="D75" s="897"/>
      <c r="E75" s="897"/>
      <c r="F75" s="897"/>
      <c r="G75" s="897"/>
      <c r="H75" s="898"/>
    </row>
    <row r="76" spans="1:17">
      <c r="A76" s="258" t="s">
        <v>287</v>
      </c>
      <c r="B76" s="279">
        <f>'6-x'!J539</f>
        <v>389.35391813471864</v>
      </c>
      <c r="C76" s="279">
        <f>'6-x'!K539</f>
        <v>316.0716954165818</v>
      </c>
      <c r="D76" s="279">
        <f>'6-x'!L539</f>
        <v>1411.8089749253115</v>
      </c>
      <c r="E76" s="279">
        <f>'6-x'!M539</f>
        <v>296.37575764609215</v>
      </c>
      <c r="F76" s="279">
        <f>'6-x'!N539</f>
        <v>250.15341708530963</v>
      </c>
      <c r="G76" s="279">
        <f>'6-x'!O539</f>
        <v>5.5364774186788983</v>
      </c>
      <c r="H76" s="279">
        <f>'6-x'!P539</f>
        <v>311.17416924652525</v>
      </c>
      <c r="K76" s="56"/>
      <c r="L76" s="56"/>
      <c r="M76" s="56"/>
      <c r="N76" s="56"/>
      <c r="O76" s="56"/>
      <c r="P76" s="56"/>
      <c r="Q76" s="56"/>
    </row>
    <row r="77" spans="1:17">
      <c r="A77" s="257" t="s">
        <v>25</v>
      </c>
      <c r="B77" s="280" t="str">
        <f>'6-x'!J540</f>
        <v/>
      </c>
      <c r="C77" s="280">
        <f>'6-x'!K540</f>
        <v>285.52639751104147</v>
      </c>
      <c r="D77" s="280">
        <f>'6-x'!L540</f>
        <v>996.36570339838977</v>
      </c>
      <c r="E77" s="280">
        <f>'6-x'!M540</f>
        <v>343.54005977224813</v>
      </c>
      <c r="F77" s="280">
        <f>'6-x'!N540</f>
        <v>223.6846961144486</v>
      </c>
      <c r="G77" s="280">
        <f>'6-x'!O540</f>
        <v>5.5499956495463527</v>
      </c>
      <c r="H77" s="279">
        <f>'6-x'!P540</f>
        <v>225.25738606780621</v>
      </c>
      <c r="K77" s="56"/>
      <c r="L77" s="56"/>
      <c r="M77" s="56"/>
      <c r="N77" s="56"/>
      <c r="O77" s="56"/>
      <c r="P77" s="56"/>
      <c r="Q77" s="56"/>
    </row>
    <row r="78" spans="1:17">
      <c r="A78" s="257" t="s">
        <v>26</v>
      </c>
      <c r="B78" s="280" t="str">
        <f>'6-x'!J541</f>
        <v/>
      </c>
      <c r="C78" s="280">
        <f>'6-x'!K541</f>
        <v>283.69659953293996</v>
      </c>
      <c r="D78" s="280" t="str">
        <f>'6-x'!L541</f>
        <v/>
      </c>
      <c r="E78" s="280">
        <f>'6-x'!M541</f>
        <v>279.64756291312403</v>
      </c>
      <c r="F78" s="280">
        <f>'6-x'!N541</f>
        <v>193.01222615557464</v>
      </c>
      <c r="G78" s="280">
        <f>'6-x'!O541</f>
        <v>3.30827462496568</v>
      </c>
      <c r="H78" s="279">
        <f>'6-x'!P541</f>
        <v>271.29787301703215</v>
      </c>
      <c r="K78" s="56"/>
      <c r="L78" s="56"/>
      <c r="M78" s="56"/>
      <c r="N78" s="56"/>
      <c r="O78" s="56"/>
      <c r="P78" s="56"/>
      <c r="Q78" s="56"/>
    </row>
    <row r="79" spans="1:17">
      <c r="A79" s="257" t="s">
        <v>27</v>
      </c>
      <c r="B79" s="280">
        <f>'6-x'!J542</f>
        <v>388.96024487135611</v>
      </c>
      <c r="C79" s="280">
        <f>'6-x'!K542</f>
        <v>327.08786542380642</v>
      </c>
      <c r="D79" s="280">
        <f>'6-x'!L542</f>
        <v>1313.5331363113135</v>
      </c>
      <c r="E79" s="280">
        <f>'6-x'!M542</f>
        <v>310.59381173410418</v>
      </c>
      <c r="F79" s="280">
        <f>'6-x'!N542</f>
        <v>239.66900386633867</v>
      </c>
      <c r="G79" s="280">
        <f>'6-x'!O542</f>
        <v>5.316599318680554</v>
      </c>
      <c r="H79" s="279">
        <f>'6-x'!P542</f>
        <v>330.61919746885633</v>
      </c>
      <c r="K79" s="56"/>
      <c r="L79" s="56"/>
      <c r="M79" s="56"/>
      <c r="N79" s="56"/>
      <c r="O79" s="56"/>
      <c r="P79" s="56"/>
      <c r="Q79" s="56"/>
    </row>
    <row r="80" spans="1:17">
      <c r="A80" s="257" t="s">
        <v>28</v>
      </c>
      <c r="B80" s="280">
        <f>'6-x'!J543</f>
        <v>391.23853163509483</v>
      </c>
      <c r="C80" s="280">
        <f>'6-x'!K543</f>
        <v>245.82259513116233</v>
      </c>
      <c r="D80" s="280" t="str">
        <f>'6-x'!L543</f>
        <v/>
      </c>
      <c r="E80" s="280">
        <f>'6-x'!M543</f>
        <v>255.54288912014849</v>
      </c>
      <c r="F80" s="280">
        <f>'6-x'!N543</f>
        <v>192.32532923230275</v>
      </c>
      <c r="G80" s="280" t="str">
        <f>'6-x'!O543</f>
        <v/>
      </c>
      <c r="H80" s="279">
        <f>'6-x'!P543</f>
        <v>230.1575400638049</v>
      </c>
      <c r="K80" s="56"/>
      <c r="L80" s="56"/>
      <c r="M80" s="56"/>
      <c r="N80" s="56"/>
      <c r="O80" s="56"/>
      <c r="P80" s="56"/>
      <c r="Q80" s="56"/>
    </row>
    <row r="81" spans="1:17">
      <c r="A81" s="257" t="s">
        <v>29</v>
      </c>
      <c r="B81" s="280" t="str">
        <f>'6-x'!J544</f>
        <v/>
      </c>
      <c r="C81" s="280">
        <f>'6-x'!K544</f>
        <v>408.86913993685482</v>
      </c>
      <c r="D81" s="280">
        <f>'6-x'!L544</f>
        <v>1697.9589193999032</v>
      </c>
      <c r="E81" s="280">
        <f>'6-x'!M544</f>
        <v>290.97031206152951</v>
      </c>
      <c r="F81" s="280">
        <f>'6-x'!N544</f>
        <v>280.38501452920559</v>
      </c>
      <c r="G81" s="280">
        <f>'6-x'!O544</f>
        <v>2.9602672336075022</v>
      </c>
      <c r="H81" s="279">
        <f>'6-x'!P544</f>
        <v>418.34954350406593</v>
      </c>
      <c r="K81" s="56"/>
      <c r="L81" s="56"/>
      <c r="M81" s="56"/>
      <c r="N81" s="56"/>
      <c r="O81" s="56"/>
      <c r="P81" s="56"/>
      <c r="Q81" s="56"/>
    </row>
    <row r="82" spans="1:17">
      <c r="A82" s="257" t="s">
        <v>388</v>
      </c>
      <c r="B82" s="280" t="str">
        <f>'6-x'!J545</f>
        <v/>
      </c>
      <c r="C82" s="280" t="str">
        <f>'6-x'!K545</f>
        <v/>
      </c>
      <c r="D82" s="280" t="str">
        <f>'6-x'!L545</f>
        <v/>
      </c>
      <c r="E82" s="280" t="str">
        <f>'6-x'!M545</f>
        <v/>
      </c>
      <c r="F82" s="280" t="str">
        <f>'6-x'!N545</f>
        <v/>
      </c>
      <c r="G82" s="280" t="str">
        <f>'6-x'!O545</f>
        <v/>
      </c>
      <c r="H82" s="457"/>
    </row>
    <row r="83" spans="1:17">
      <c r="A83" s="268"/>
      <c r="B83" s="896" t="s">
        <v>292</v>
      </c>
      <c r="C83" s="897"/>
      <c r="D83" s="897"/>
      <c r="E83" s="897"/>
      <c r="F83" s="897"/>
      <c r="G83" s="897"/>
      <c r="H83" s="898"/>
    </row>
    <row r="84" spans="1:17">
      <c r="A84" s="258" t="s">
        <v>287</v>
      </c>
      <c r="B84" s="279">
        <f>'6-x'!J534</f>
        <v>381.58068760723734</v>
      </c>
      <c r="C84" s="279">
        <f>'6-x'!K534</f>
        <v>232.88461660679565</v>
      </c>
      <c r="D84" s="279">
        <f>'6-x'!L534</f>
        <v>594.04164605337826</v>
      </c>
      <c r="E84" s="279">
        <f>'6-x'!M534</f>
        <v>243.61545190666712</v>
      </c>
      <c r="F84" s="279">
        <f>'6-x'!N534</f>
        <v>157.24659417924855</v>
      </c>
      <c r="G84" s="279">
        <f>'6-x'!O534</f>
        <v>0.56511947200921842</v>
      </c>
      <c r="H84" s="279">
        <f>'6-x'!P534</f>
        <v>213.40571197738365</v>
      </c>
    </row>
    <row r="85" spans="1:17" ht="15.6">
      <c r="A85" s="360"/>
      <c r="B85" s="360"/>
      <c r="C85" s="360"/>
      <c r="D85" s="360"/>
      <c r="E85" s="360"/>
      <c r="F85" s="360"/>
      <c r="G85" s="360"/>
      <c r="H85" s="360"/>
    </row>
    <row r="86" spans="1:17" ht="15.6">
      <c r="A86" s="360"/>
      <c r="B86" s="360"/>
      <c r="C86" s="360"/>
      <c r="D86" s="360"/>
      <c r="E86" s="360"/>
      <c r="F86" s="360"/>
      <c r="G86" s="360"/>
      <c r="H86" s="360"/>
    </row>
    <row r="87" spans="1:17">
      <c r="B87" s="895" t="s">
        <v>11</v>
      </c>
      <c r="C87" s="895"/>
      <c r="D87" s="895"/>
      <c r="E87" s="895"/>
      <c r="F87" s="895"/>
      <c r="G87" s="895"/>
      <c r="H87" s="895"/>
    </row>
    <row r="88" spans="1:17" ht="28.8">
      <c r="B88" s="281" t="s">
        <v>5</v>
      </c>
      <c r="C88" s="281" t="s">
        <v>64</v>
      </c>
      <c r="D88" s="281" t="s">
        <v>7</v>
      </c>
      <c r="E88" s="281" t="s">
        <v>8</v>
      </c>
      <c r="F88" s="281" t="s">
        <v>267</v>
      </c>
      <c r="G88" s="281" t="s">
        <v>268</v>
      </c>
      <c r="H88" s="281" t="s">
        <v>10</v>
      </c>
    </row>
    <row r="89" spans="1:17">
      <c r="A89" s="283">
        <v>2017</v>
      </c>
      <c r="B89" s="896" t="s">
        <v>291</v>
      </c>
      <c r="C89" s="897"/>
      <c r="D89" s="897"/>
      <c r="E89" s="897"/>
      <c r="F89" s="897"/>
      <c r="G89" s="897"/>
      <c r="H89" s="898"/>
    </row>
    <row r="90" spans="1:17">
      <c r="A90" s="258" t="s">
        <v>287</v>
      </c>
      <c r="B90" s="279">
        <f>'6-x'!J624</f>
        <v>387.71781754606212</v>
      </c>
      <c r="C90" s="279">
        <f>'6-x'!K624</f>
        <v>318.6409401680545</v>
      </c>
      <c r="D90" s="279">
        <f>'6-x'!L624</f>
        <v>1229.5046385993339</v>
      </c>
      <c r="E90" s="279">
        <f>'6-x'!M624</f>
        <v>300.48983395814332</v>
      </c>
      <c r="F90" s="279">
        <f>'6-x'!N624</f>
        <v>242.07501864239049</v>
      </c>
      <c r="G90" s="279">
        <f>'6-x'!O624</f>
        <v>5.1620577354360568</v>
      </c>
      <c r="H90" s="279">
        <f>'6-x'!P624</f>
        <v>311.49096156053645</v>
      </c>
      <c r="J90" s="56"/>
      <c r="K90" s="56"/>
      <c r="L90" s="56"/>
      <c r="M90" s="56"/>
      <c r="N90" s="56"/>
      <c r="O90" s="56"/>
      <c r="P90" s="56"/>
    </row>
    <row r="91" spans="1:17">
      <c r="A91" s="257" t="s">
        <v>25</v>
      </c>
      <c r="B91" s="280" t="str">
        <f>'6-x'!J625</f>
        <v/>
      </c>
      <c r="C91" s="280">
        <f>'6-x'!K625</f>
        <v>286.42583351653025</v>
      </c>
      <c r="D91" s="280">
        <f>'6-x'!L625</f>
        <v>981.64343873571647</v>
      </c>
      <c r="E91" s="280">
        <f>'6-x'!M625</f>
        <v>375.90917438723147</v>
      </c>
      <c r="F91" s="280">
        <f>'6-x'!N625</f>
        <v>219.03546225749153</v>
      </c>
      <c r="G91" s="280">
        <f>'6-x'!O625</f>
        <v>5.170261460193295</v>
      </c>
      <c r="H91" s="279">
        <f>'6-x'!P625</f>
        <v>224.46152950746313</v>
      </c>
      <c r="P91" s="56"/>
    </row>
    <row r="92" spans="1:17">
      <c r="A92" s="257" t="s">
        <v>26</v>
      </c>
      <c r="B92" s="280" t="str">
        <f>'6-x'!J626</f>
        <v/>
      </c>
      <c r="C92" s="280">
        <f>'6-x'!K626</f>
        <v>285.03388999046877</v>
      </c>
      <c r="D92" s="280" t="str">
        <f>'6-x'!L626</f>
        <v/>
      </c>
      <c r="E92" s="280">
        <f>'6-x'!M626</f>
        <v>280.97507884810648</v>
      </c>
      <c r="F92" s="280">
        <f>'6-x'!N626</f>
        <v>194.16953070601394</v>
      </c>
      <c r="G92" s="280">
        <f>'6-x'!O626</f>
        <v>3.7803830494941906</v>
      </c>
      <c r="H92" s="279">
        <f>'6-x'!P626</f>
        <v>274.90640291673924</v>
      </c>
      <c r="P92" s="56"/>
    </row>
    <row r="93" spans="1:17">
      <c r="A93" s="257" t="s">
        <v>27</v>
      </c>
      <c r="B93" s="280">
        <f>'6-x'!J627</f>
        <v>387.28484890747444</v>
      </c>
      <c r="C93" s="280">
        <f>'6-x'!K627</f>
        <v>329.19712658793486</v>
      </c>
      <c r="D93" s="280">
        <f>'6-x'!L627</f>
        <v>1133.6029340442626</v>
      </c>
      <c r="E93" s="280">
        <f>'6-x'!M627</f>
        <v>316.97953491163747</v>
      </c>
      <c r="F93" s="280">
        <f>'6-x'!N627</f>
        <v>227.40243449194699</v>
      </c>
      <c r="G93" s="280">
        <f>'6-x'!O627</f>
        <v>5.0861894242609988</v>
      </c>
      <c r="H93" s="279">
        <f>'6-x'!P627</f>
        <v>329.62243380883331</v>
      </c>
      <c r="P93" s="56"/>
    </row>
    <row r="94" spans="1:17">
      <c r="A94" s="257" t="s">
        <v>28</v>
      </c>
      <c r="B94" s="280">
        <f>'6-x'!J628</f>
        <v>389.74281354392508</v>
      </c>
      <c r="C94" s="280">
        <f>'6-x'!K628</f>
        <v>246.38472817826215</v>
      </c>
      <c r="D94" s="280" t="str">
        <f>'6-x'!L628</f>
        <v/>
      </c>
      <c r="E94" s="280">
        <f>'6-x'!M628</f>
        <v>255.19966335664452</v>
      </c>
      <c r="F94" s="280">
        <f>'6-x'!N628</f>
        <v>182.78453854335299</v>
      </c>
      <c r="G94" s="280" t="str">
        <f>'6-x'!O628</f>
        <v/>
      </c>
      <c r="H94" s="279">
        <f>'6-x'!P628</f>
        <v>231.68690433957821</v>
      </c>
      <c r="P94" s="56"/>
    </row>
    <row r="95" spans="1:17">
      <c r="A95" s="257" t="s">
        <v>29</v>
      </c>
      <c r="B95" s="280" t="str">
        <f>'6-x'!J629</f>
        <v/>
      </c>
      <c r="C95" s="280">
        <f>'6-x'!K629</f>
        <v>375.50819596779854</v>
      </c>
      <c r="D95" s="280">
        <f>'6-x'!L629</f>
        <v>1446.7219794951332</v>
      </c>
      <c r="E95" s="280">
        <f>'6-x'!M629</f>
        <v>300.02417803466687</v>
      </c>
      <c r="F95" s="280">
        <f>'6-x'!N629</f>
        <v>274.80412297979859</v>
      </c>
      <c r="G95" s="280">
        <f>'6-x'!O629</f>
        <v>2.8619852987358243</v>
      </c>
      <c r="H95" s="279">
        <f>'6-x'!P629</f>
        <v>406.07421889449648</v>
      </c>
      <c r="P95" s="56"/>
    </row>
    <row r="96" spans="1:17">
      <c r="A96" s="268"/>
      <c r="B96" s="896" t="s">
        <v>292</v>
      </c>
      <c r="C96" s="897"/>
      <c r="D96" s="897"/>
      <c r="E96" s="897"/>
      <c r="F96" s="897"/>
      <c r="G96" s="897"/>
      <c r="H96" s="898"/>
      <c r="P96" s="56"/>
    </row>
    <row r="97" spans="1:16">
      <c r="A97" s="258" t="s">
        <v>287</v>
      </c>
      <c r="B97" s="279">
        <f>'6-x'!J619</f>
        <v>379.8312676466017</v>
      </c>
      <c r="C97" s="279">
        <f>'6-x'!K619</f>
        <v>233.75295992953019</v>
      </c>
      <c r="D97" s="279">
        <f>'6-x'!L619</f>
        <v>705.69307565612485</v>
      </c>
      <c r="E97" s="279">
        <f>'6-x'!M619</f>
        <v>244.48926517679109</v>
      </c>
      <c r="F97" s="279">
        <f>'6-x'!N619</f>
        <v>154.21403709324665</v>
      </c>
      <c r="G97" s="279">
        <f>'6-x'!O619</f>
        <v>0.30032594795581485</v>
      </c>
      <c r="H97" s="279">
        <f>'6-x'!P619</f>
        <v>218.78165008132791</v>
      </c>
      <c r="P97" s="56"/>
    </row>
    <row r="98" spans="1:16" ht="15.6">
      <c r="A98" s="360"/>
      <c r="B98" s="360"/>
      <c r="C98" s="360"/>
      <c r="D98" s="360"/>
      <c r="E98" s="360"/>
      <c r="F98" s="360"/>
      <c r="G98" s="360"/>
      <c r="H98" s="360"/>
    </row>
    <row r="99" spans="1:16" ht="15.6">
      <c r="A99" s="360"/>
      <c r="B99" s="360"/>
      <c r="C99" s="360"/>
      <c r="D99" s="360"/>
      <c r="E99" s="360"/>
      <c r="F99" s="360"/>
      <c r="G99" s="360"/>
      <c r="H99" s="360"/>
    </row>
    <row r="100" spans="1:16">
      <c r="B100" s="895" t="s">
        <v>11</v>
      </c>
      <c r="C100" s="895"/>
      <c r="D100" s="895"/>
      <c r="E100" s="895"/>
      <c r="F100" s="895"/>
      <c r="G100" s="895"/>
      <c r="H100" s="895"/>
    </row>
    <row r="101" spans="1:16" ht="28.8">
      <c r="B101" s="281" t="s">
        <v>5</v>
      </c>
      <c r="C101" s="281" t="s">
        <v>64</v>
      </c>
      <c r="D101" s="281" t="s">
        <v>7</v>
      </c>
      <c r="E101" s="281" t="s">
        <v>8</v>
      </c>
      <c r="F101" s="281" t="s">
        <v>267</v>
      </c>
      <c r="G101" s="281" t="s">
        <v>268</v>
      </c>
      <c r="H101" s="281" t="s">
        <v>10</v>
      </c>
    </row>
    <row r="102" spans="1:16" ht="14.7" customHeight="1">
      <c r="A102" s="283">
        <v>2016</v>
      </c>
      <c r="B102" s="896" t="s">
        <v>291</v>
      </c>
      <c r="C102" s="897"/>
      <c r="D102" s="897"/>
      <c r="E102" s="897"/>
      <c r="F102" s="897"/>
      <c r="G102" s="897"/>
      <c r="H102" s="898"/>
    </row>
    <row r="103" spans="1:16">
      <c r="A103" s="258" t="s">
        <v>287</v>
      </c>
      <c r="B103" s="279">
        <f>'6-x'!J709</f>
        <v>392.18416917840028</v>
      </c>
      <c r="C103" s="279">
        <f>'6-x'!K709</f>
        <v>316.72210681862674</v>
      </c>
      <c r="D103" s="279">
        <f>'6-x'!L709</f>
        <v>1318.2470942360696</v>
      </c>
      <c r="E103" s="279">
        <f>'6-x'!M709</f>
        <v>299.5502946228367</v>
      </c>
      <c r="F103" s="279">
        <f>'6-x'!N709</f>
        <v>244.43780500200828</v>
      </c>
      <c r="G103" s="279">
        <f>'6-x'!O709</f>
        <v>5.3608461754206349</v>
      </c>
      <c r="H103" s="279">
        <f>'6-x'!P709</f>
        <v>316.63395323893189</v>
      </c>
      <c r="I103" s="56"/>
      <c r="J103" s="56"/>
    </row>
    <row r="104" spans="1:16">
      <c r="A104" s="257" t="s">
        <v>25</v>
      </c>
      <c r="B104" s="324" t="str">
        <f>'6-x'!J710</f>
        <v/>
      </c>
      <c r="C104" s="324">
        <f>'6-x'!K710</f>
        <v>284.20336170809725</v>
      </c>
      <c r="D104" s="324">
        <f>'6-x'!L710</f>
        <v>1196.8303988490379</v>
      </c>
      <c r="E104" s="324">
        <f>'6-x'!M710</f>
        <v>381.75683054429038</v>
      </c>
      <c r="F104" s="324">
        <f>'6-x'!N710</f>
        <v>220.23822043737724</v>
      </c>
      <c r="G104" s="324">
        <f>'6-x'!O710</f>
        <v>5.3677427548660246</v>
      </c>
      <c r="H104" s="279">
        <f>'6-x'!P710</f>
        <v>224.78966077693838</v>
      </c>
      <c r="I104" s="56"/>
      <c r="J104" s="56"/>
    </row>
    <row r="105" spans="1:16">
      <c r="A105" s="257" t="s">
        <v>26</v>
      </c>
      <c r="B105" s="324" t="str">
        <f>'6-x'!J711</f>
        <v/>
      </c>
      <c r="C105" s="324">
        <f>'6-x'!K711</f>
        <v>284.26378485620427</v>
      </c>
      <c r="D105" s="324">
        <f>'6-x'!L711</f>
        <v>924.94400595518562</v>
      </c>
      <c r="E105" s="324">
        <f>'6-x'!M711</f>
        <v>282.62934800695217</v>
      </c>
      <c r="F105" s="324">
        <f>'6-x'!N711</f>
        <v>192.18881903148548</v>
      </c>
      <c r="G105" s="324">
        <f>'6-x'!O711</f>
        <v>4.4015715701656832</v>
      </c>
      <c r="H105" s="279">
        <f>'6-x'!P711</f>
        <v>276.81505456064519</v>
      </c>
      <c r="I105" s="56"/>
      <c r="J105" s="56"/>
    </row>
    <row r="106" spans="1:16">
      <c r="A106" s="257" t="s">
        <v>27</v>
      </c>
      <c r="B106" s="324">
        <f>'6-x'!J712</f>
        <v>391.80205780496476</v>
      </c>
      <c r="C106" s="324">
        <f>'6-x'!K712</f>
        <v>327.70836140856329</v>
      </c>
      <c r="D106" s="324">
        <f>'6-x'!L712</f>
        <v>1204.1380386835338</v>
      </c>
      <c r="E106" s="324">
        <f>'6-x'!M712</f>
        <v>317.33939169375941</v>
      </c>
      <c r="F106" s="324">
        <f>'6-x'!N712</f>
        <v>232.7236911118373</v>
      </c>
      <c r="G106" s="324">
        <f>'6-x'!O712</f>
        <v>5.3600047222980782</v>
      </c>
      <c r="H106" s="279">
        <f>'6-x'!P712</f>
        <v>331.57954435577614</v>
      </c>
      <c r="I106" s="56"/>
      <c r="J106" s="56"/>
    </row>
    <row r="107" spans="1:16">
      <c r="A107" s="257" t="s">
        <v>28</v>
      </c>
      <c r="B107" s="324">
        <f>'6-x'!J713</f>
        <v>394.25987873529436</v>
      </c>
      <c r="C107" s="324">
        <f>'6-x'!K713</f>
        <v>246.80432431067428</v>
      </c>
      <c r="D107" s="324" t="str">
        <f>'6-x'!L713</f>
        <v/>
      </c>
      <c r="E107" s="324">
        <f>'6-x'!M713</f>
        <v>256.3385774778497</v>
      </c>
      <c r="F107" s="324">
        <f>'6-x'!N713</f>
        <v>183.36961771986554</v>
      </c>
      <c r="G107" s="324">
        <f>'6-x'!O713</f>
        <v>0.95155905424561138</v>
      </c>
      <c r="H107" s="279">
        <f>'6-x'!P713</f>
        <v>235.67853353417689</v>
      </c>
      <c r="I107" s="56"/>
      <c r="J107" s="56"/>
    </row>
    <row r="108" spans="1:16">
      <c r="A108" s="257" t="s">
        <v>29</v>
      </c>
      <c r="B108" s="324" t="str">
        <f>'6-x'!J714</f>
        <v/>
      </c>
      <c r="C108" s="324">
        <f>'6-x'!K714</f>
        <v>358.64294690758334</v>
      </c>
      <c r="D108" s="324">
        <f>'6-x'!L714</f>
        <v>1502.9784087519492</v>
      </c>
      <c r="E108" s="324">
        <f>'6-x'!M714</f>
        <v>288.0952428102658</v>
      </c>
      <c r="F108" s="324">
        <f>'6-x'!N714</f>
        <v>276.53252487777274</v>
      </c>
      <c r="G108" s="324">
        <f>'6-x'!O714</f>
        <v>2.7487739080625055</v>
      </c>
      <c r="H108" s="279">
        <f>'6-x'!P714</f>
        <v>441.83010422676603</v>
      </c>
      <c r="I108" s="56"/>
      <c r="J108" s="56"/>
    </row>
    <row r="109" spans="1:16">
      <c r="A109" s="268"/>
      <c r="B109" s="896" t="s">
        <v>292</v>
      </c>
      <c r="C109" s="897"/>
      <c r="D109" s="897"/>
      <c r="E109" s="897"/>
      <c r="F109" s="897"/>
      <c r="G109" s="897"/>
      <c r="H109" s="898"/>
      <c r="I109" s="56"/>
      <c r="J109" s="56"/>
    </row>
    <row r="110" spans="1:16">
      <c r="A110" s="258" t="s">
        <v>287</v>
      </c>
      <c r="B110" s="279">
        <f>'6-x'!J704</f>
        <v>384.08041202654817</v>
      </c>
      <c r="C110" s="279">
        <f>'6-x'!K704</f>
        <v>234.47701751138837</v>
      </c>
      <c r="D110" s="279">
        <f>'6-x'!L704</f>
        <v>747.76229753123539</v>
      </c>
      <c r="E110" s="279">
        <f>'6-x'!M704</f>
        <v>245.06116337065791</v>
      </c>
      <c r="F110" s="279">
        <f>'6-x'!N704</f>
        <v>152.99570120545243</v>
      </c>
      <c r="G110" s="279">
        <f>'6-x'!O704</f>
        <v>0.31937736375804654</v>
      </c>
      <c r="H110" s="279">
        <f>'6-x'!P704</f>
        <v>223.54597906631111</v>
      </c>
      <c r="I110" s="56"/>
      <c r="J110" s="56"/>
    </row>
    <row r="111" spans="1:16">
      <c r="B111" s="56"/>
      <c r="C111" s="56"/>
      <c r="D111" s="56"/>
      <c r="E111" s="56"/>
      <c r="F111" s="56"/>
      <c r="G111" s="56"/>
      <c r="H111" s="56"/>
    </row>
    <row r="113" spans="1:16" ht="14.7" customHeight="1">
      <c r="A113" s="283">
        <v>2015</v>
      </c>
      <c r="B113" s="896" t="s">
        <v>291</v>
      </c>
      <c r="C113" s="897"/>
      <c r="D113" s="897"/>
      <c r="E113" s="897"/>
      <c r="F113" s="897"/>
      <c r="G113" s="897"/>
      <c r="H113" s="898"/>
    </row>
    <row r="114" spans="1:16">
      <c r="A114" s="258" t="s">
        <v>287</v>
      </c>
      <c r="B114" s="279">
        <f>'6-x'!J794</f>
        <v>391.41590691199769</v>
      </c>
      <c r="C114" s="279">
        <f>'6-x'!K794</f>
        <v>312.21820268733592</v>
      </c>
      <c r="D114" s="279">
        <f>'6-x'!L794</f>
        <v>1319.1563856179177</v>
      </c>
      <c r="E114" s="279">
        <f>'6-x'!M794</f>
        <v>311.53596492069391</v>
      </c>
      <c r="F114" s="279">
        <f>'6-x'!N794</f>
        <v>242.60270274142374</v>
      </c>
      <c r="G114" s="279">
        <f>'6-x'!O794</f>
        <v>5.1849699479333911</v>
      </c>
      <c r="H114" s="279">
        <f>'6-x'!P794</f>
        <v>308.32793093848068</v>
      </c>
      <c r="I114" s="56"/>
      <c r="K114" s="284"/>
      <c r="L114" s="284"/>
      <c r="M114" s="284"/>
      <c r="N114" s="284"/>
      <c r="O114" s="284"/>
      <c r="P114" s="284"/>
    </row>
    <row r="115" spans="1:16">
      <c r="A115" s="257" t="s">
        <v>25</v>
      </c>
      <c r="B115" s="280" t="str">
        <f>'6-x'!J795</f>
        <v/>
      </c>
      <c r="C115" s="280">
        <f>'6-x'!K795</f>
        <v>281.48384929497723</v>
      </c>
      <c r="D115" s="280">
        <f>'6-x'!L795</f>
        <v>1120.8384593231908</v>
      </c>
      <c r="E115" s="280">
        <f>'6-x'!M795</f>
        <v>385.00942008401785</v>
      </c>
      <c r="F115" s="280">
        <f>'6-x'!N795</f>
        <v>225.97972664796288</v>
      </c>
      <c r="G115" s="280">
        <f>'6-x'!O795</f>
        <v>5.1903252464307927</v>
      </c>
      <c r="H115" s="279">
        <f>'6-x'!P795</f>
        <v>220.55405552226065</v>
      </c>
      <c r="I115" s="56"/>
      <c r="J115" s="56"/>
      <c r="P115" s="284"/>
    </row>
    <row r="116" spans="1:16">
      <c r="A116" s="257" t="s">
        <v>26</v>
      </c>
      <c r="B116" s="280" t="str">
        <f>'6-x'!J796</f>
        <v/>
      </c>
      <c r="C116" s="280">
        <f>'6-x'!K796</f>
        <v>279.34490095799987</v>
      </c>
      <c r="D116" s="280">
        <f>'6-x'!L796</f>
        <v>866.77793208540561</v>
      </c>
      <c r="E116" s="280">
        <f>'6-x'!M796</f>
        <v>290.13590238529349</v>
      </c>
      <c r="F116" s="280">
        <f>'6-x'!N796</f>
        <v>190.2055272502792</v>
      </c>
      <c r="G116" s="280">
        <f>'6-x'!O796</f>
        <v>3.330163779596842</v>
      </c>
      <c r="H116" s="279">
        <f>'6-x'!P796</f>
        <v>272.66566075108369</v>
      </c>
      <c r="I116" s="56"/>
      <c r="J116" s="56"/>
      <c r="P116" s="284"/>
    </row>
    <row r="117" spans="1:16">
      <c r="A117" s="257" t="s">
        <v>27</v>
      </c>
      <c r="B117" s="280">
        <f>'6-x'!J797</f>
        <v>391.12476797077727</v>
      </c>
      <c r="C117" s="280">
        <f>'6-x'!K797</f>
        <v>322.92109115322847</v>
      </c>
      <c r="D117" s="280">
        <f>'6-x'!L797</f>
        <v>1290.9284012035023</v>
      </c>
      <c r="E117" s="280">
        <f>'6-x'!M797</f>
        <v>331.35744302848167</v>
      </c>
      <c r="F117" s="280">
        <f>'6-x'!N797</f>
        <v>221.60935506096499</v>
      </c>
      <c r="G117" s="280">
        <f>'6-x'!O797</f>
        <v>5.3880818349385571</v>
      </c>
      <c r="H117" s="279">
        <f>'6-x'!P797</f>
        <v>321.85284619299404</v>
      </c>
      <c r="I117" s="56"/>
      <c r="J117" s="56"/>
      <c r="P117" s="284"/>
    </row>
    <row r="118" spans="1:16">
      <c r="A118" s="257" t="s">
        <v>28</v>
      </c>
      <c r="B118" s="280">
        <f>'6-x'!J798</f>
        <v>392.80062635489696</v>
      </c>
      <c r="C118" s="280">
        <f>'6-x'!K798</f>
        <v>245.40664985081057</v>
      </c>
      <c r="D118" s="280" t="str">
        <f>'6-x'!L798</f>
        <v/>
      </c>
      <c r="E118" s="280">
        <f>'6-x'!M798</f>
        <v>258.48524715612751</v>
      </c>
      <c r="F118" s="280">
        <f>'6-x'!N798</f>
        <v>183.28173814394552</v>
      </c>
      <c r="G118" s="280">
        <f>'6-x'!O798</f>
        <v>1.3782437424801901</v>
      </c>
      <c r="H118" s="279">
        <f>'6-x'!P798</f>
        <v>233.84328052362892</v>
      </c>
      <c r="I118" s="56"/>
      <c r="J118" s="56"/>
      <c r="P118" s="284"/>
    </row>
    <row r="119" spans="1:16">
      <c r="A119" s="257" t="s">
        <v>29</v>
      </c>
      <c r="B119" s="280" t="str">
        <f>'6-x'!J799</f>
        <v/>
      </c>
      <c r="C119" s="280">
        <f>'6-x'!K799</f>
        <v>352.93894877493796</v>
      </c>
      <c r="D119" s="280">
        <f>'6-x'!L799</f>
        <v>1362.9723734263546</v>
      </c>
      <c r="E119" s="280">
        <f>'6-x'!M799</f>
        <v>331.54366847094428</v>
      </c>
      <c r="F119" s="280">
        <f>'6-x'!N799</f>
        <v>281.50366150828194</v>
      </c>
      <c r="G119" s="280">
        <f>'6-x'!O799</f>
        <v>3.0911888319764627</v>
      </c>
      <c r="H119" s="279">
        <f>'6-x'!P799</f>
        <v>427.68408382799453</v>
      </c>
      <c r="I119" s="56"/>
      <c r="P119" s="284"/>
    </row>
    <row r="120" spans="1:16">
      <c r="A120" s="268"/>
      <c r="B120" s="896" t="s">
        <v>292</v>
      </c>
      <c r="C120" s="897"/>
      <c r="D120" s="897"/>
      <c r="E120" s="897"/>
      <c r="F120" s="897"/>
      <c r="G120" s="897"/>
      <c r="H120" s="898"/>
      <c r="I120" s="285"/>
    </row>
    <row r="121" spans="1:16">
      <c r="A121" s="258" t="s">
        <v>287</v>
      </c>
      <c r="B121" s="279">
        <f>'6-x'!J789</f>
        <v>383.39600895071516</v>
      </c>
      <c r="C121" s="279">
        <f>'6-x'!K789</f>
        <v>232.55664465966052</v>
      </c>
      <c r="D121" s="279">
        <f>'6-x'!L789</f>
        <v>780.84006071243448</v>
      </c>
      <c r="E121" s="279">
        <f>'6-x'!M789</f>
        <v>249.42050973951652</v>
      </c>
      <c r="F121" s="279">
        <f>'6-x'!N789</f>
        <v>154.6233219630943</v>
      </c>
      <c r="G121" s="279">
        <f>'6-x'!O789</f>
        <v>0.4537316128532331</v>
      </c>
      <c r="H121" s="279">
        <f>'6-x'!P789</f>
        <v>221.71522945030736</v>
      </c>
      <c r="I121" s="285"/>
    </row>
    <row r="124" spans="1:16" ht="14.7" customHeight="1">
      <c r="A124" s="283">
        <v>2010</v>
      </c>
      <c r="B124" s="896" t="s">
        <v>291</v>
      </c>
      <c r="C124" s="897"/>
      <c r="D124" s="897"/>
      <c r="E124" s="897"/>
      <c r="F124" s="897"/>
      <c r="G124" s="897"/>
      <c r="H124" s="898"/>
    </row>
    <row r="125" spans="1:16">
      <c r="A125" s="258" t="s">
        <v>287</v>
      </c>
      <c r="B125" s="279">
        <f>'6-x'!J878</f>
        <v>436.15138204699758</v>
      </c>
      <c r="C125" s="279">
        <f>'6-x'!K878</f>
        <v>335.24447285973156</v>
      </c>
      <c r="D125" s="279">
        <f>'6-x'!L878</f>
        <v>1555.7572673928603</v>
      </c>
      <c r="E125" s="279">
        <f>'6-x'!M878</f>
        <v>364.98346741880005</v>
      </c>
      <c r="F125" s="279">
        <f>'6-x'!N878</f>
        <v>429.41169269411756</v>
      </c>
      <c r="G125" s="279">
        <f>'6-x'!O878</f>
        <v>17.086911217892592</v>
      </c>
      <c r="H125" s="279">
        <f>'6-x'!P878</f>
        <v>378.60024318297189</v>
      </c>
      <c r="J125" s="285"/>
      <c r="K125" s="285"/>
      <c r="L125" s="285"/>
      <c r="M125" s="285"/>
      <c r="N125" s="285"/>
    </row>
    <row r="126" spans="1:16">
      <c r="A126" s="257" t="s">
        <v>25</v>
      </c>
      <c r="B126" s="280" t="str">
        <f>'6-x'!J879</f>
        <v/>
      </c>
      <c r="C126" s="280">
        <f>'6-x'!K879</f>
        <v>303.61481053124896</v>
      </c>
      <c r="D126" s="280">
        <f>'6-x'!L879</f>
        <v>1572.7666079290123</v>
      </c>
      <c r="E126" s="280">
        <f>'6-x'!M879</f>
        <v>415.2239935366934</v>
      </c>
      <c r="F126" s="280">
        <f>'6-x'!N879</f>
        <v>349.17062676934501</v>
      </c>
      <c r="G126" s="280">
        <f>'6-x'!O879</f>
        <v>16.977589555802879</v>
      </c>
      <c r="H126" s="279">
        <f>'6-x'!P879</f>
        <v>322.45887907813363</v>
      </c>
      <c r="J126" s="285"/>
      <c r="K126" s="285"/>
      <c r="L126" s="285"/>
      <c r="M126" s="285"/>
      <c r="N126" s="285"/>
    </row>
    <row r="127" spans="1:16">
      <c r="A127" s="257" t="s">
        <v>26</v>
      </c>
      <c r="B127" s="280" t="str">
        <f>'6-x'!J880</f>
        <v/>
      </c>
      <c r="C127" s="280">
        <f>'6-x'!K880</f>
        <v>283.08867353680711</v>
      </c>
      <c r="D127" s="280">
        <f>'6-x'!L880</f>
        <v>891.83406900731211</v>
      </c>
      <c r="E127" s="280">
        <f>'6-x'!M880</f>
        <v>364.99107480872391</v>
      </c>
      <c r="F127" s="280" t="str">
        <f>'6-x'!N880</f>
        <v/>
      </c>
      <c r="G127" s="280">
        <f>'6-x'!O880</f>
        <v>6.9553165675682056</v>
      </c>
      <c r="H127" s="279">
        <f>'6-x'!P880</f>
        <v>299.41018169179546</v>
      </c>
      <c r="J127" s="285"/>
      <c r="K127" s="285"/>
      <c r="L127" s="285"/>
      <c r="M127" s="285"/>
      <c r="N127" s="285"/>
    </row>
    <row r="128" spans="1:16">
      <c r="A128" s="257" t="s">
        <v>27</v>
      </c>
      <c r="B128" s="280">
        <f>'6-x'!J881</f>
        <v>458.45140559351438</v>
      </c>
      <c r="C128" s="280">
        <f>'6-x'!K881</f>
        <v>344.3372915766252</v>
      </c>
      <c r="D128" s="280">
        <f>'6-x'!L881</f>
        <v>1528.5408466898591</v>
      </c>
      <c r="E128" s="280">
        <f>'6-x'!M881</f>
        <v>356.03561231383247</v>
      </c>
      <c r="F128" s="280">
        <f>'6-x'!N881</f>
        <v>381.84753817325367</v>
      </c>
      <c r="G128" s="280">
        <f>'6-x'!O881</f>
        <v>25.747726410672158</v>
      </c>
      <c r="H128" s="279">
        <f>'6-x'!P881</f>
        <v>386.51177148333477</v>
      </c>
      <c r="J128" s="285"/>
      <c r="K128" s="285"/>
      <c r="L128" s="285"/>
      <c r="M128" s="285"/>
      <c r="N128" s="285"/>
    </row>
    <row r="129" spans="1:14">
      <c r="A129" s="257" t="s">
        <v>28</v>
      </c>
      <c r="B129" s="280">
        <f>'6-x'!J882</f>
        <v>390.51359215091156</v>
      </c>
      <c r="C129" s="280">
        <f>'6-x'!K882</f>
        <v>286.02317156738837</v>
      </c>
      <c r="D129" s="280" t="str">
        <f>'6-x'!L882</f>
        <v/>
      </c>
      <c r="E129" s="280">
        <f>'6-x'!M882</f>
        <v>339.87728972641463</v>
      </c>
      <c r="F129" s="280">
        <f>'6-x'!N882</f>
        <v>286.85750535115648</v>
      </c>
      <c r="G129" s="280">
        <f>'6-x'!O882</f>
        <v>7.1493433561081376</v>
      </c>
      <c r="H129" s="279">
        <f>'6-x'!P882</f>
        <v>298.59737991155879</v>
      </c>
      <c r="J129" s="285"/>
      <c r="K129" s="285"/>
      <c r="L129" s="285"/>
      <c r="M129" s="285"/>
      <c r="N129" s="285"/>
    </row>
    <row r="130" spans="1:14">
      <c r="A130" s="257" t="s">
        <v>29</v>
      </c>
      <c r="B130" s="280" t="str">
        <f>'6-x'!J883</f>
        <v/>
      </c>
      <c r="C130" s="280">
        <f>'6-x'!K883</f>
        <v>334.68606577918399</v>
      </c>
      <c r="D130" s="280">
        <f>'6-x'!L883</f>
        <v>2546.5357514462894</v>
      </c>
      <c r="E130" s="280">
        <f>'6-x'!M883</f>
        <v>380.81730493705248</v>
      </c>
      <c r="F130" s="280">
        <f>'6-x'!N883</f>
        <v>635.86264076183056</v>
      </c>
      <c r="G130" s="280">
        <f>'6-x'!O883</f>
        <v>20.10753487065524</v>
      </c>
      <c r="H130" s="279">
        <f>'6-x'!P883</f>
        <v>454.68011253115702</v>
      </c>
      <c r="J130" s="285"/>
      <c r="K130" s="285"/>
      <c r="L130" s="285"/>
      <c r="M130" s="285"/>
      <c r="N130" s="285"/>
    </row>
    <row r="131" spans="1:14">
      <c r="A131" s="268"/>
      <c r="B131" s="896" t="s">
        <v>292</v>
      </c>
      <c r="C131" s="897"/>
      <c r="D131" s="897"/>
      <c r="E131" s="897"/>
      <c r="F131" s="897"/>
      <c r="G131" s="897"/>
      <c r="H131" s="898"/>
      <c r="I131" s="284"/>
    </row>
    <row r="132" spans="1:14">
      <c r="A132" s="258" t="s">
        <v>287</v>
      </c>
      <c r="B132" s="279">
        <f>'6-x'!J873</f>
        <v>383.45734066751078</v>
      </c>
      <c r="C132" s="279">
        <f>'6-x'!K873</f>
        <v>233.23887659740089</v>
      </c>
      <c r="D132" s="279">
        <f>'6-x'!L873</f>
        <v>625.7717873907734</v>
      </c>
      <c r="E132" s="279">
        <f>'6-x'!M873</f>
        <v>289.03570788431529</v>
      </c>
      <c r="F132" s="279">
        <f>'6-x'!N873</f>
        <v>240.66986638971335</v>
      </c>
      <c r="G132" s="279">
        <f>'6-x'!O873</f>
        <v>0</v>
      </c>
      <c r="H132" s="279">
        <f>'6-x'!P873</f>
        <v>249.01947221567406</v>
      </c>
      <c r="I132" s="284"/>
    </row>
    <row r="135" spans="1:14" ht="14.7" customHeight="1">
      <c r="A135" s="283">
        <v>2005</v>
      </c>
      <c r="B135" s="896" t="s">
        <v>291</v>
      </c>
      <c r="C135" s="897"/>
      <c r="D135" s="897"/>
      <c r="E135" s="897"/>
      <c r="F135" s="897"/>
      <c r="G135" s="897"/>
      <c r="H135" s="898"/>
    </row>
    <row r="136" spans="1:14">
      <c r="A136" s="258" t="s">
        <v>287</v>
      </c>
      <c r="B136" s="279">
        <f>'6-x'!J961</f>
        <v>492.25908007973288</v>
      </c>
      <c r="C136" s="279">
        <f>'6-x'!K961</f>
        <v>333.99812218626033</v>
      </c>
      <c r="D136" s="279">
        <f>'6-x'!L961</f>
        <v>1586.5979822263969</v>
      </c>
      <c r="E136" s="279">
        <f>'6-x'!M961</f>
        <v>395.76661629498517</v>
      </c>
      <c r="F136" s="279">
        <f>'6-x'!N961</f>
        <v>411.03229785476447</v>
      </c>
      <c r="G136" s="279">
        <f>'6-x'!O961</f>
        <v>20.512534785400728</v>
      </c>
      <c r="H136" s="279">
        <f>'6-x'!P961</f>
        <v>390.74150048721327</v>
      </c>
      <c r="I136" s="285"/>
    </row>
    <row r="137" spans="1:14">
      <c r="A137" s="257" t="s">
        <v>25</v>
      </c>
      <c r="B137" s="280" t="str">
        <f>'6-x'!J962</f>
        <v/>
      </c>
      <c r="C137" s="280">
        <f>'6-x'!K962</f>
        <v>298.27108964105901</v>
      </c>
      <c r="D137" s="280">
        <f>'6-x'!L962</f>
        <v>1835.4531188042524</v>
      </c>
      <c r="E137" s="280">
        <f>'6-x'!M962</f>
        <v>487.79021479759757</v>
      </c>
      <c r="F137" s="280">
        <f>'6-x'!N962</f>
        <v>353.752057140967</v>
      </c>
      <c r="G137" s="280">
        <f>'6-x'!O962</f>
        <v>29.471060714161823</v>
      </c>
      <c r="H137" s="279">
        <f>'6-x'!P962</f>
        <v>368.97252063117338</v>
      </c>
      <c r="I137" s="285"/>
    </row>
    <row r="138" spans="1:14">
      <c r="A138" s="257" t="s">
        <v>26</v>
      </c>
      <c r="B138" s="280" t="str">
        <f>'6-x'!J963</f>
        <v/>
      </c>
      <c r="C138" s="280">
        <f>'6-x'!K963</f>
        <v>294.05577102215204</v>
      </c>
      <c r="D138" s="280" t="str">
        <f>'6-x'!L963</f>
        <v/>
      </c>
      <c r="E138" s="280">
        <f>'6-x'!M963</f>
        <v>359.66666314324368</v>
      </c>
      <c r="F138" s="280">
        <f>'6-x'!N963</f>
        <v>256.70753565908291</v>
      </c>
      <c r="G138" s="280">
        <f>'6-x'!O963</f>
        <v>38.4602994908673</v>
      </c>
      <c r="H138" s="279">
        <f>'6-x'!P963</f>
        <v>307.36461849460045</v>
      </c>
      <c r="I138" s="285"/>
    </row>
    <row r="139" spans="1:14">
      <c r="A139" s="257" t="s">
        <v>27</v>
      </c>
      <c r="B139" s="280" t="str">
        <f>'6-x'!J964</f>
        <v/>
      </c>
      <c r="C139" s="280">
        <f>'6-x'!K964</f>
        <v>359.06551220075141</v>
      </c>
      <c r="D139" s="280">
        <f>'6-x'!L964</f>
        <v>1500.7392493347252</v>
      </c>
      <c r="E139" s="280">
        <f>'6-x'!M964</f>
        <v>420.50893719049827</v>
      </c>
      <c r="F139" s="280">
        <f>'6-x'!N964</f>
        <v>379.87441110072825</v>
      </c>
      <c r="G139" s="280">
        <f>'6-x'!O964</f>
        <v>7.096624933139017</v>
      </c>
      <c r="H139" s="279">
        <f>'6-x'!P964</f>
        <v>415.47994712898839</v>
      </c>
      <c r="I139" s="285"/>
    </row>
    <row r="140" spans="1:14">
      <c r="A140" s="257" t="s">
        <v>28</v>
      </c>
      <c r="B140" s="280">
        <f>'6-x'!J965</f>
        <v>492.25908007973288</v>
      </c>
      <c r="C140" s="280">
        <f>'6-x'!K965</f>
        <v>240.75683455592784</v>
      </c>
      <c r="D140" s="280">
        <f>'6-x'!L965</f>
        <v>1277.4685642454056</v>
      </c>
      <c r="E140" s="280">
        <f>'6-x'!M965</f>
        <v>306.22660652888817</v>
      </c>
      <c r="F140" s="280">
        <f>'6-x'!N965</f>
        <v>386.26610231751675</v>
      </c>
      <c r="G140" s="280">
        <f>'6-x'!O965</f>
        <v>16.647846832422445</v>
      </c>
      <c r="H140" s="279">
        <f>'6-x'!P965</f>
        <v>288.10055792458166</v>
      </c>
      <c r="I140" s="285"/>
    </row>
    <row r="141" spans="1:14">
      <c r="A141" s="257" t="s">
        <v>29</v>
      </c>
      <c r="B141" s="280" t="str">
        <f>'6-x'!J966</f>
        <v/>
      </c>
      <c r="C141" s="280">
        <f>'6-x'!K966</f>
        <v>309.49831162716038</v>
      </c>
      <c r="D141" s="280">
        <f>'6-x'!L966</f>
        <v>2684.8048679655089</v>
      </c>
      <c r="E141" s="280">
        <f>'6-x'!M966</f>
        <v>441.31538754362674</v>
      </c>
      <c r="F141" s="280">
        <f>'6-x'!N966</f>
        <v>508.2054289281707</v>
      </c>
      <c r="G141" s="280">
        <f>'6-x'!O966</f>
        <v>15.27041636470503</v>
      </c>
      <c r="H141" s="279">
        <f>'6-x'!P966</f>
        <v>456.29515803031779</v>
      </c>
      <c r="I141" s="285"/>
    </row>
    <row r="142" spans="1:14">
      <c r="A142" s="268"/>
      <c r="B142" s="896" t="s">
        <v>292</v>
      </c>
      <c r="C142" s="897"/>
      <c r="D142" s="897"/>
      <c r="E142" s="897"/>
      <c r="F142" s="897"/>
      <c r="G142" s="897"/>
      <c r="H142" s="898"/>
    </row>
    <row r="143" spans="1:14">
      <c r="A143" s="258" t="s">
        <v>287</v>
      </c>
      <c r="B143" s="279">
        <f>'6-x'!J956</f>
        <v>377.22019408031616</v>
      </c>
      <c r="C143" s="279">
        <f>'6-x'!K956</f>
        <v>225.89886230648628</v>
      </c>
      <c r="D143" s="279">
        <f>'6-x'!L956</f>
        <v>474.34039507874905</v>
      </c>
      <c r="E143" s="279">
        <f>'6-x'!M956</f>
        <v>283.52108403381533</v>
      </c>
      <c r="F143" s="279">
        <f>'6-x'!N956</f>
        <v>202.5161957700542</v>
      </c>
      <c r="G143" s="279">
        <f>'6-x'!O956</f>
        <v>0</v>
      </c>
      <c r="H143" s="279">
        <f>'6-x'!P956</f>
        <v>244.34840622386804</v>
      </c>
    </row>
  </sheetData>
  <mergeCells count="31">
    <mergeCell ref="B17:H17"/>
    <mergeCell ref="B19:H19"/>
    <mergeCell ref="B27:H27"/>
    <mergeCell ref="B41:H41"/>
    <mergeCell ref="B59:H59"/>
    <mergeCell ref="B61:H61"/>
    <mergeCell ref="B69:H69"/>
    <mergeCell ref="B102:H102"/>
    <mergeCell ref="B113:H113"/>
    <mergeCell ref="B142:H142"/>
    <mergeCell ref="B131:H131"/>
    <mergeCell ref="B109:H109"/>
    <mergeCell ref="B120:H120"/>
    <mergeCell ref="B124:H124"/>
    <mergeCell ref="B135:H135"/>
    <mergeCell ref="A2:H2"/>
    <mergeCell ref="B100:H100"/>
    <mergeCell ref="B87:H87"/>
    <mergeCell ref="B89:H89"/>
    <mergeCell ref="B96:H96"/>
    <mergeCell ref="B73:H73"/>
    <mergeCell ref="B75:H75"/>
    <mergeCell ref="B83:H83"/>
    <mergeCell ref="B45:H45"/>
    <mergeCell ref="B47:H47"/>
    <mergeCell ref="B55:H55"/>
    <mergeCell ref="B31:H31"/>
    <mergeCell ref="B33:H33"/>
    <mergeCell ref="B3:H3"/>
    <mergeCell ref="B5:H5"/>
    <mergeCell ref="B13:H13"/>
  </mergeCells>
  <hyperlinks>
    <hyperlink ref="A1" location="Indice!A1" display="Torna indietro" xr:uid="{00000000-0004-0000-13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6"/>
  <dimension ref="A1:AB44"/>
  <sheetViews>
    <sheetView zoomScale="70" zoomScaleNormal="70" workbookViewId="0">
      <selection activeCell="O30" sqref="O30"/>
    </sheetView>
  </sheetViews>
  <sheetFormatPr defaultColWidth="12.77734375" defaultRowHeight="14.4"/>
  <cols>
    <col min="1" max="1" width="50" customWidth="1"/>
    <col min="2" max="7" width="8.5546875" bestFit="1" customWidth="1"/>
    <col min="8" max="8" width="9.5546875" bestFit="1" customWidth="1"/>
    <col min="9" max="9" width="8.5546875" bestFit="1" customWidth="1"/>
    <col min="10" max="10" width="8.77734375" bestFit="1" customWidth="1"/>
    <col min="11" max="12" width="8.5546875" customWidth="1"/>
    <col min="13" max="13" width="8.5546875" bestFit="1" customWidth="1"/>
    <col min="14" max="14" width="7.77734375" customWidth="1"/>
    <col min="15" max="15" width="27.21875" customWidth="1"/>
    <col min="16" max="27" width="8.5546875" customWidth="1"/>
  </cols>
  <sheetData>
    <row r="1" spans="1:28" ht="15.6">
      <c r="A1" s="113" t="s">
        <v>57</v>
      </c>
    </row>
    <row r="2" spans="1:28" s="70" customFormat="1" ht="16.2" customHeight="1" thickBot="1">
      <c r="A2" s="543" t="s">
        <v>630</v>
      </c>
      <c r="B2" s="544"/>
      <c r="C2" s="544"/>
      <c r="D2" s="544"/>
      <c r="E2" s="544"/>
      <c r="F2" s="544"/>
      <c r="G2" s="544"/>
      <c r="H2" s="544"/>
      <c r="I2" s="544"/>
      <c r="J2" s="570"/>
      <c r="K2" s="570"/>
      <c r="L2" s="570"/>
      <c r="M2" s="570"/>
      <c r="O2" s="544" t="s">
        <v>638</v>
      </c>
      <c r="P2" s="544"/>
      <c r="Q2" s="544"/>
      <c r="R2" s="544"/>
      <c r="S2" s="544"/>
      <c r="T2" s="544"/>
      <c r="U2" s="544"/>
      <c r="V2" s="544"/>
      <c r="W2" s="544"/>
      <c r="X2" s="544"/>
    </row>
    <row r="3" spans="1:28" s="70" customFormat="1" ht="15.6">
      <c r="A3" s="899" t="s">
        <v>330</v>
      </c>
      <c r="B3" s="552">
        <v>2005</v>
      </c>
      <c r="C3" s="552">
        <v>2010</v>
      </c>
      <c r="D3" s="552">
        <v>2015</v>
      </c>
      <c r="E3" s="552">
        <v>2016</v>
      </c>
      <c r="F3" s="553">
        <v>2017</v>
      </c>
      <c r="G3" s="553">
        <v>2018</v>
      </c>
      <c r="H3" s="553">
        <v>2019</v>
      </c>
      <c r="I3" s="553">
        <v>2020</v>
      </c>
      <c r="J3" s="553">
        <v>2021</v>
      </c>
      <c r="K3" s="553">
        <v>2022</v>
      </c>
      <c r="L3" s="553">
        <v>2023</v>
      </c>
      <c r="M3" s="553" t="s">
        <v>597</v>
      </c>
      <c r="O3" s="899" t="s">
        <v>330</v>
      </c>
      <c r="P3" s="552">
        <v>2005</v>
      </c>
      <c r="Q3" s="552">
        <v>2010</v>
      </c>
      <c r="R3" s="552">
        <v>2015</v>
      </c>
      <c r="S3" s="552">
        <v>2016</v>
      </c>
      <c r="T3" s="552">
        <v>2017</v>
      </c>
      <c r="U3" s="552">
        <v>2018</v>
      </c>
      <c r="V3" s="553">
        <v>2019</v>
      </c>
      <c r="W3" s="553">
        <v>2020</v>
      </c>
      <c r="X3" s="553">
        <v>2021</v>
      </c>
      <c r="Y3" s="553">
        <v>2022</v>
      </c>
      <c r="Z3" s="553">
        <v>2023</v>
      </c>
      <c r="AA3" s="553" t="str">
        <f>M3</f>
        <v>2024*</v>
      </c>
    </row>
    <row r="4" spans="1:28" s="70" customFormat="1" ht="17.7" customHeight="1" thickBot="1">
      <c r="A4" s="900"/>
      <c r="B4" s="434" t="s">
        <v>337</v>
      </c>
      <c r="C4" s="434"/>
      <c r="D4" s="434"/>
      <c r="E4" s="434"/>
      <c r="F4" s="434"/>
      <c r="G4" s="435"/>
      <c r="H4" s="435"/>
      <c r="I4" s="435"/>
      <c r="J4" s="435"/>
      <c r="K4" s="435"/>
      <c r="L4" s="435"/>
      <c r="M4" s="435"/>
      <c r="O4" s="900"/>
      <c r="P4" s="434" t="s">
        <v>337</v>
      </c>
      <c r="Q4" s="434"/>
      <c r="R4" s="434"/>
      <c r="S4" s="434"/>
      <c r="T4" s="434"/>
      <c r="U4" s="434"/>
      <c r="V4" s="434"/>
      <c r="W4" s="434"/>
      <c r="X4" s="434"/>
      <c r="Y4" s="434"/>
      <c r="Z4" s="434"/>
      <c r="AA4" s="434"/>
      <c r="AB4" s="355"/>
    </row>
    <row r="5" spans="1:28" s="70" customFormat="1" ht="18">
      <c r="A5" s="318" t="s">
        <v>338</v>
      </c>
      <c r="B5" s="320">
        <f>'9'!Q36</f>
        <v>157.84778723299399</v>
      </c>
      <c r="C5" s="320">
        <f>'9'!V36</f>
        <v>135.71613801439122</v>
      </c>
      <c r="D5" s="320">
        <f>'9'!AA36</f>
        <v>107.68978493520528</v>
      </c>
      <c r="E5" s="320">
        <f>'9'!AB36</f>
        <v>107.5109778953466</v>
      </c>
      <c r="F5" s="320">
        <f>'9'!AC36</f>
        <v>107.67043674035193</v>
      </c>
      <c r="G5" s="320">
        <f>'9'!AD36</f>
        <v>99.359484691639295</v>
      </c>
      <c r="H5" s="320">
        <f>'9'!AE36</f>
        <v>95.356720240993951</v>
      </c>
      <c r="I5" s="320">
        <f>'9'!AF36</f>
        <v>86.214712595397344</v>
      </c>
      <c r="J5" s="320">
        <f>'9'!AG36</f>
        <v>90.27030215042879</v>
      </c>
      <c r="K5" s="320">
        <f>'9'!AH36</f>
        <v>99.375019175432186</v>
      </c>
      <c r="L5" s="320">
        <f>'9'!AI36</f>
        <v>78.902079400135776</v>
      </c>
      <c r="M5" s="579">
        <f>'9'!AJ36</f>
        <v>69.641599772592429</v>
      </c>
      <c r="N5" s="780"/>
      <c r="O5" s="318" t="s">
        <v>364</v>
      </c>
      <c r="P5" s="320">
        <f>'9'!Q11</f>
        <v>144.74312632555694</v>
      </c>
      <c r="Q5" s="320">
        <f>'9'!V11</f>
        <v>121.70870410113133</v>
      </c>
      <c r="R5" s="320">
        <f>'9'!AA11</f>
        <v>94.548472304045845</v>
      </c>
      <c r="S5" s="320">
        <f>'9'!AB11</f>
        <v>93.863743159910342</v>
      </c>
      <c r="T5" s="320">
        <f>'9'!AC11</f>
        <v>94.307087279330361</v>
      </c>
      <c r="U5" s="320">
        <f>'9'!AD11</f>
        <v>86.635484742035814</v>
      </c>
      <c r="V5" s="320">
        <f>'9'!AE11</f>
        <v>82.320543725154124</v>
      </c>
      <c r="W5" s="320">
        <f>'9'!AF11</f>
        <v>73.463947603774983</v>
      </c>
      <c r="X5" s="320">
        <f>'9'!AG11</f>
        <v>77.943993377450155</v>
      </c>
      <c r="Y5" s="320">
        <f>'9'!AH11</f>
        <v>86.688836907301976</v>
      </c>
      <c r="Z5" s="320">
        <f>'9'!AI11</f>
        <v>67.452693257450079</v>
      </c>
      <c r="AA5" s="579">
        <f>'9'!AJ11</f>
        <v>58.337747250974878</v>
      </c>
      <c r="AB5" s="320"/>
    </row>
    <row r="6" spans="1:28" s="70" customFormat="1" ht="18">
      <c r="A6" s="318" t="s">
        <v>339</v>
      </c>
      <c r="B6" s="344">
        <f>Other!$C34/1000000*28</f>
        <v>0.17829768103949312</v>
      </c>
      <c r="C6" s="344">
        <f>Other!$H34/1000000*28</f>
        <v>0.1930906800417094</v>
      </c>
      <c r="D6" s="344">
        <f>Other!M34/1000000*28</f>
        <v>0.25192436121334338</v>
      </c>
      <c r="E6" s="344">
        <f>Other!N34/1000000*28</f>
        <v>0.25967087416951423</v>
      </c>
      <c r="F6" s="344">
        <f>Other!O34/1000000*28</f>
        <v>0.25773129328314992</v>
      </c>
      <c r="G6" s="344">
        <f>Other!P34/1000000*28</f>
        <v>0.24991899731226228</v>
      </c>
      <c r="H6" s="344">
        <f>Other!Q34/1000000*28</f>
        <v>0.25216010409273981</v>
      </c>
      <c r="I6" s="344">
        <f>Other!R34/1000000*28</f>
        <v>0.24307957396384905</v>
      </c>
      <c r="J6" s="647">
        <f>Other!S34/1000000*28</f>
        <v>0.23800056223111171</v>
      </c>
      <c r="K6" s="647">
        <f>Other!T34/1000000*28</f>
        <v>0.23158040403867269</v>
      </c>
      <c r="L6" s="647">
        <f>Other!U34/1000000*28</f>
        <v>0.20329347199545092</v>
      </c>
      <c r="M6" s="539">
        <f>M5*AVERAGE(I6:K6)/AVERAGE(I5:K5)</f>
        <v>0.17991305014787629</v>
      </c>
      <c r="N6" s="780"/>
      <c r="O6" s="318" t="s">
        <v>365</v>
      </c>
      <c r="P6" s="344">
        <f>B6/'23'!B$6*'23'!B$11</f>
        <v>0.16121272943086457</v>
      </c>
      <c r="Q6" s="344">
        <f>C6/'23'!G$6*'23'!G$11</f>
        <v>0.17117513917952243</v>
      </c>
      <c r="R6" s="344">
        <f>D6/'23'!L$6*'23'!L$11</f>
        <v>0.2159206953744367</v>
      </c>
      <c r="S6" s="344">
        <f>E6/'23'!M$6*'23'!M$11</f>
        <v>0.2221448172697856</v>
      </c>
      <c r="T6" s="344">
        <f>F6/'23'!N$6*'23'!N$11</f>
        <v>0.22152652204696482</v>
      </c>
      <c r="U6" s="344">
        <f>G6/'23'!O$6*'23'!O$11</f>
        <v>0.21306096266715663</v>
      </c>
      <c r="V6" s="344">
        <f>H6/'23'!P$6*'23'!P$11</f>
        <v>0.21458414955821478</v>
      </c>
      <c r="W6" s="344">
        <f>I6/'23'!Q$6*'23'!Q$11</f>
        <v>0.20486355701007597</v>
      </c>
      <c r="X6" s="647">
        <f>J6/'23'!R$6*'23'!R$11</f>
        <v>0.20289782738472165</v>
      </c>
      <c r="Y6" s="647">
        <f>K6/'23'!S$6*'23'!S$11</f>
        <v>0.19930148270511655</v>
      </c>
      <c r="Z6" s="647">
        <f>L6/'23'!T$6*'23'!T$11</f>
        <v>0.17210929225240829</v>
      </c>
      <c r="AA6" s="539">
        <f>Z6</f>
        <v>0.17210929225240829</v>
      </c>
      <c r="AB6" s="344"/>
    </row>
    <row r="7" spans="1:28" s="70" customFormat="1" ht="18.600000000000001" thickBot="1">
      <c r="A7" s="319" t="s">
        <v>340</v>
      </c>
      <c r="B7" s="345">
        <f>Other!$C35/1000000*265</f>
        <v>0.43515657693884613</v>
      </c>
      <c r="C7" s="345">
        <f>Other!$H35/1000000*265</f>
        <v>0.45674452055519044</v>
      </c>
      <c r="D7" s="345">
        <f>Other!M35/1000000*265</f>
        <v>0.50103771565545474</v>
      </c>
      <c r="E7" s="345">
        <f>Other!N35/1000000*265</f>
        <v>0.49618036275348681</v>
      </c>
      <c r="F7" s="345">
        <f>Other!O35/1000000*265</f>
        <v>0.46733481867025017</v>
      </c>
      <c r="G7" s="345">
        <f>Other!P35/1000000*265</f>
        <v>0.44903435172516948</v>
      </c>
      <c r="H7" s="345">
        <f>Other!Q35/1000000*265</f>
        <v>0.41614366771144162</v>
      </c>
      <c r="I7" s="345">
        <f>Other!R35/1000000*265</f>
        <v>0.39236940835854855</v>
      </c>
      <c r="J7" s="345">
        <f>Other!S35/1000000*265</f>
        <v>0.37349057135770164</v>
      </c>
      <c r="K7" s="345">
        <f>Other!T35/1000000*265</f>
        <v>0.39716849118611625</v>
      </c>
      <c r="L7" s="345">
        <f>Other!U35/1000000*265</f>
        <v>0.33914064115240872</v>
      </c>
      <c r="M7" s="540">
        <f>M5*AVERAGE(I7:K7)/AVERAGE(I5:K5)</f>
        <v>0.29360963291200082</v>
      </c>
      <c r="N7" s="780"/>
      <c r="O7" s="319" t="s">
        <v>366</v>
      </c>
      <c r="P7" s="345">
        <f>B7/'23'!B$6*'23'!B$11</f>
        <v>0.39345873198745912</v>
      </c>
      <c r="Q7" s="345">
        <f>C7/'23'!G$6*'23'!G$11</f>
        <v>0.40490461196071531</v>
      </c>
      <c r="R7" s="345">
        <f>D7/'23'!L$6*'23'!L$11</f>
        <v>0.42943211784718416</v>
      </c>
      <c r="S7" s="345">
        <f>E7/'23'!M$6*'23'!M$11</f>
        <v>0.424475391663582</v>
      </c>
      <c r="T7" s="345">
        <f>F7/'23'!N$6*'23'!N$11</f>
        <v>0.40168601838245588</v>
      </c>
      <c r="U7" s="345">
        <f>G7/'23'!O$6*'23'!O$11</f>
        <v>0.38281079981146782</v>
      </c>
      <c r="V7" s="345">
        <f>H7/'23'!P$6*'23'!P$11</f>
        <v>0.35413149653941262</v>
      </c>
      <c r="W7" s="345">
        <f>I7/'23'!Q$6*'23'!Q$11</f>
        <v>0.33068262934435527</v>
      </c>
      <c r="X7" s="345">
        <f>J7/'23'!R$6*'23'!R$11</f>
        <v>0.31840439689200822</v>
      </c>
      <c r="Y7" s="345">
        <f>K7/'23'!S$6*'23'!S$11</f>
        <v>0.34180901232009381</v>
      </c>
      <c r="Z7" s="345">
        <f>L7/'23'!T$6*'23'!T$11</f>
        <v>0.2871181998607174</v>
      </c>
      <c r="AA7" s="540">
        <f>Z7</f>
        <v>0.2871181998607174</v>
      </c>
      <c r="AB7" s="344"/>
    </row>
    <row r="8" spans="1:28" s="70" customFormat="1" ht="16.2" thickBot="1">
      <c r="A8" s="319" t="s">
        <v>331</v>
      </c>
      <c r="B8" s="321">
        <f t="shared" ref="B8:H8" si="0">SUM(B5:B7)</f>
        <v>158.46124149097233</v>
      </c>
      <c r="C8" s="321">
        <f t="shared" si="0"/>
        <v>136.36597321498812</v>
      </c>
      <c r="D8" s="321">
        <f t="shared" si="0"/>
        <v>108.44274701207408</v>
      </c>
      <c r="E8" s="321">
        <f t="shared" si="0"/>
        <v>108.26682913226961</v>
      </c>
      <c r="F8" s="321">
        <f t="shared" si="0"/>
        <v>108.39550285230533</v>
      </c>
      <c r="G8" s="321">
        <f t="shared" si="0"/>
        <v>100.05843804067673</v>
      </c>
      <c r="H8" s="321">
        <f t="shared" si="0"/>
        <v>96.025024012798127</v>
      </c>
      <c r="I8" s="321">
        <f>SUM(I5:I7)</f>
        <v>86.850161577719746</v>
      </c>
      <c r="J8" s="321">
        <f>SUM(J5:J7)</f>
        <v>90.881793284017604</v>
      </c>
      <c r="K8" s="321">
        <f>SUM(K5:K7)</f>
        <v>100.00376807065697</v>
      </c>
      <c r="L8" s="321">
        <f t="shared" ref="L8" si="1">SUM(L5:L7)</f>
        <v>79.444513513283638</v>
      </c>
      <c r="M8" s="580">
        <f>SUM(M5:M7)</f>
        <v>70.115122455652298</v>
      </c>
      <c r="O8" s="319" t="s">
        <v>331</v>
      </c>
      <c r="P8" s="321">
        <f t="shared" ref="P8:X8" si="2">SUM(P5:P7)</f>
        <v>145.29779778697528</v>
      </c>
      <c r="Q8" s="321">
        <f t="shared" si="2"/>
        <v>122.28478385227157</v>
      </c>
      <c r="R8" s="321">
        <f t="shared" si="2"/>
        <v>95.193825117267465</v>
      </c>
      <c r="S8" s="321">
        <f t="shared" si="2"/>
        <v>94.510363368843699</v>
      </c>
      <c r="T8" s="321">
        <f t="shared" si="2"/>
        <v>94.930299819759782</v>
      </c>
      <c r="U8" s="321">
        <f t="shared" si="2"/>
        <v>87.231356504514437</v>
      </c>
      <c r="V8" s="321">
        <f t="shared" si="2"/>
        <v>82.889259371251754</v>
      </c>
      <c r="W8" s="321">
        <f t="shared" si="2"/>
        <v>73.999493790129407</v>
      </c>
      <c r="X8" s="321">
        <f t="shared" si="2"/>
        <v>78.465295601726879</v>
      </c>
      <c r="Y8" s="321">
        <f>SUM(Y5:Y7)</f>
        <v>87.229947402327184</v>
      </c>
      <c r="Z8" s="321">
        <f t="shared" ref="Z8" si="3">SUM(Z5:Z7)</f>
        <v>67.911920749563208</v>
      </c>
      <c r="AA8" s="580">
        <f>SUM(AA5:AA7)</f>
        <v>58.796974743088001</v>
      </c>
      <c r="AB8" s="356"/>
    </row>
    <row r="9" spans="1:28" s="70" customFormat="1" ht="15.6">
      <c r="A9" s="12" t="s">
        <v>482</v>
      </c>
      <c r="B9" s="858"/>
      <c r="C9" s="858"/>
      <c r="D9" s="858"/>
      <c r="E9" s="858"/>
      <c r="F9" s="858"/>
      <c r="G9" s="858"/>
      <c r="H9" s="858"/>
      <c r="I9" s="858"/>
      <c r="J9" s="858"/>
      <c r="K9" s="858"/>
      <c r="L9" s="858"/>
      <c r="M9" s="858"/>
    </row>
    <row r="10" spans="1:28" s="70" customFormat="1" ht="15.6">
      <c r="A10" s="12"/>
      <c r="B10" s="429"/>
      <c r="C10" s="429"/>
      <c r="D10" s="429"/>
      <c r="E10" s="429"/>
      <c r="F10" s="429"/>
      <c r="G10" s="429"/>
      <c r="H10" s="429"/>
      <c r="I10" s="429"/>
      <c r="J10" s="429"/>
      <c r="K10" s="429"/>
      <c r="L10" s="429"/>
      <c r="M10" s="429"/>
    </row>
    <row r="11" spans="1:28" s="70" customFormat="1" ht="16.2" thickBot="1">
      <c r="A11" s="47" t="s">
        <v>430</v>
      </c>
      <c r="B11" s="12"/>
      <c r="C11" s="12"/>
      <c r="D11" s="12"/>
      <c r="E11" s="12"/>
      <c r="F11" s="12"/>
      <c r="G11" s="12"/>
      <c r="H11" s="12"/>
      <c r="I11" s="12"/>
      <c r="J11" s="624"/>
      <c r="K11" s="12"/>
      <c r="L11" s="12"/>
      <c r="M11" s="12"/>
    </row>
    <row r="12" spans="1:28" s="70" customFormat="1" ht="15.6">
      <c r="A12" s="899" t="s">
        <v>332</v>
      </c>
      <c r="B12" s="552">
        <v>2005</v>
      </c>
      <c r="C12" s="552">
        <v>2010</v>
      </c>
      <c r="D12" s="554">
        <v>2015</v>
      </c>
      <c r="E12" s="554">
        <v>2016</v>
      </c>
      <c r="F12" s="554">
        <v>2017</v>
      </c>
      <c r="G12" s="554">
        <v>2018</v>
      </c>
      <c r="H12" s="554">
        <v>2019</v>
      </c>
      <c r="I12" s="554">
        <v>2020</v>
      </c>
      <c r="J12" s="554">
        <v>2021</v>
      </c>
      <c r="K12" s="554">
        <v>2022</v>
      </c>
      <c r="L12" s="554">
        <v>2023</v>
      </c>
      <c r="M12" s="12"/>
    </row>
    <row r="13" spans="1:28" s="70" customFormat="1" ht="16.2" thickBot="1">
      <c r="A13" s="900"/>
      <c r="B13" s="434" t="s">
        <v>333</v>
      </c>
      <c r="C13" s="434"/>
      <c r="D13" s="434"/>
      <c r="E13" s="434"/>
      <c r="F13" s="434"/>
      <c r="G13" s="434"/>
      <c r="H13" s="434"/>
      <c r="I13" s="434"/>
      <c r="J13" s="434"/>
      <c r="K13" s="434"/>
      <c r="L13" s="434"/>
      <c r="M13" s="12"/>
    </row>
    <row r="14" spans="1:28" s="70" customFormat="1" ht="18">
      <c r="A14" s="318" t="s">
        <v>341</v>
      </c>
      <c r="B14" s="489">
        <f>Other!$C30/1000</f>
        <v>129.12511144410377</v>
      </c>
      <c r="C14" s="489">
        <f>Other!$H30/1000</f>
        <v>102.21763149534843</v>
      </c>
      <c r="D14" s="489">
        <f>Other!M30/1000</f>
        <v>86.271414771999943</v>
      </c>
      <c r="E14" s="489">
        <f>Other!N30/1000</f>
        <v>82.940045425267712</v>
      </c>
      <c r="F14" s="489">
        <f>Other!O30/1000</f>
        <v>80.570357057719221</v>
      </c>
      <c r="G14" s="489">
        <f>Other!P30/1000</f>
        <v>75.892443953213487</v>
      </c>
      <c r="H14" s="489">
        <f>Other!Q30/1000</f>
        <v>74.068792565935155</v>
      </c>
      <c r="I14" s="489">
        <f>Other!R30/1000</f>
        <v>67.904307017653451</v>
      </c>
      <c r="J14" s="489">
        <f>Other!S30/1000</f>
        <v>68.744022734886443</v>
      </c>
      <c r="K14" s="489">
        <f>Other!T30/1000</f>
        <v>70.429615988152278</v>
      </c>
      <c r="L14" s="489">
        <f>Other!U30/1000</f>
        <v>62.009247707673275</v>
      </c>
      <c r="M14" s="429"/>
      <c r="N14" s="430"/>
      <c r="O14" s="430"/>
      <c r="P14" s="430"/>
    </row>
    <row r="15" spans="1:28" s="70" customFormat="1" ht="18">
      <c r="A15" s="318" t="s">
        <v>342</v>
      </c>
      <c r="B15" s="490">
        <f>Other!$C31/1000</f>
        <v>183.90635234145913</v>
      </c>
      <c r="C15" s="490">
        <f>Other!$H31/1000</f>
        <v>78.945477955774948</v>
      </c>
      <c r="D15" s="490">
        <f>Other!M31/1000</f>
        <v>32.517988367917511</v>
      </c>
      <c r="E15" s="490">
        <f>Other!N31/1000</f>
        <v>25.02990959347818</v>
      </c>
      <c r="F15" s="490">
        <f>Other!O31/1000</f>
        <v>22.478726709369234</v>
      </c>
      <c r="G15" s="490">
        <f>Other!P31/1000</f>
        <v>20.302974556885665</v>
      </c>
      <c r="H15" s="490">
        <f>Other!Q31/1000</f>
        <v>16.860647592455912</v>
      </c>
      <c r="I15" s="490">
        <f>Other!R31/1000</f>
        <v>14.437450048949174</v>
      </c>
      <c r="J15" s="490">
        <f>Other!S31/1000</f>
        <v>13.452287566591862</v>
      </c>
      <c r="K15" s="490">
        <f>Other!T31/1000</f>
        <v>16.796567002332992</v>
      </c>
      <c r="L15" s="490">
        <f>Other!U31/1000</f>
        <v>13.110648852991762</v>
      </c>
      <c r="M15" s="429"/>
      <c r="N15" s="430"/>
      <c r="O15" s="430"/>
      <c r="P15" s="430"/>
    </row>
    <row r="16" spans="1:28" s="70" customFormat="1" ht="15.6">
      <c r="A16" s="318" t="s">
        <v>334</v>
      </c>
      <c r="B16" s="490">
        <f>Other!$C32/1000</f>
        <v>17.8570223964511</v>
      </c>
      <c r="C16" s="490">
        <f>Other!$H32/1000</f>
        <v>25.056330749937288</v>
      </c>
      <c r="D16" s="490">
        <f>Other!M32/1000</f>
        <v>27.461421723208137</v>
      </c>
      <c r="E16" s="490">
        <f>Other!N32/1000</f>
        <v>29.889803654970354</v>
      </c>
      <c r="F16" s="490">
        <f>Other!O32/1000</f>
        <v>29.9865595003339</v>
      </c>
      <c r="G16" s="490">
        <f>Other!P32/1000</f>
        <v>29.665916686451897</v>
      </c>
      <c r="H16" s="490">
        <f>Other!Q32/1000</f>
        <v>30.833367769848394</v>
      </c>
      <c r="I16" s="490">
        <f>Other!R32/1000</f>
        <v>30.289831230924001</v>
      </c>
      <c r="J16" s="490">
        <f>Other!S32/1000</f>
        <v>29.493067275420341</v>
      </c>
      <c r="K16" s="490">
        <f>Other!T32/1000</f>
        <v>28.709358206648485</v>
      </c>
      <c r="L16" s="490">
        <f>Other!U32/1000</f>
        <v>29.049307913361492</v>
      </c>
      <c r="M16" s="429"/>
      <c r="N16" s="430"/>
      <c r="O16" s="430"/>
      <c r="P16" s="430"/>
    </row>
    <row r="17" spans="1:28" s="70" customFormat="1" ht="15.6">
      <c r="A17" s="318" t="s">
        <v>348</v>
      </c>
      <c r="B17" s="490">
        <f>Other!$C33/1000</f>
        <v>36.970470131027426</v>
      </c>
      <c r="C17" s="490">
        <f>Other!$H33/1000</f>
        <v>35.883923786052776</v>
      </c>
      <c r="D17" s="490">
        <f>Other!M33/1000</f>
        <v>32.146669189056958</v>
      </c>
      <c r="E17" s="490">
        <f>Other!N33/1000</f>
        <v>33.606310041226543</v>
      </c>
      <c r="F17" s="490">
        <f>Other!O33/1000</f>
        <v>34.658055341082509</v>
      </c>
      <c r="G17" s="490">
        <f>Other!P33/1000</f>
        <v>32.458366558748786</v>
      </c>
      <c r="H17" s="490">
        <f>Other!Q33/1000</f>
        <v>33.336018920442228</v>
      </c>
      <c r="I17" s="490">
        <f>Other!R33/1000</f>
        <v>31.253521960029094</v>
      </c>
      <c r="J17" s="490">
        <f>Other!S33/1000</f>
        <v>31.859045777904129</v>
      </c>
      <c r="K17" s="490">
        <f>Other!T33/1000</f>
        <v>31.746423042192372</v>
      </c>
      <c r="L17" s="490">
        <f>Other!U33/1000</f>
        <v>27.019777674086264</v>
      </c>
      <c r="M17" s="429"/>
      <c r="N17" s="430"/>
      <c r="O17" s="430"/>
      <c r="P17" s="430"/>
    </row>
    <row r="18" spans="1:28" s="70" customFormat="1" ht="18">
      <c r="A18" s="318" t="s">
        <v>343</v>
      </c>
      <c r="B18" s="490">
        <f>Other!$C36/1000</f>
        <v>0.23181134721780092</v>
      </c>
      <c r="C18" s="490">
        <f>Other!$H36/1000</f>
        <v>0.22917479528794457</v>
      </c>
      <c r="D18" s="490">
        <f>Other!M36/1000</f>
        <v>0.24098275684989801</v>
      </c>
      <c r="E18" s="490">
        <f>Other!N36/1000</f>
        <v>0.21065575728247626</v>
      </c>
      <c r="F18" s="490">
        <f>Other!O36/1000</f>
        <v>0.19150587730802074</v>
      </c>
      <c r="G18" s="490">
        <f>Other!P36/1000</f>
        <v>0.17230512333715695</v>
      </c>
      <c r="H18" s="490">
        <f>Other!Q36/1000</f>
        <v>0.13093780378260922</v>
      </c>
      <c r="I18" s="490">
        <f>Other!R36/1000</f>
        <v>0.10719569274299928</v>
      </c>
      <c r="J18" s="490">
        <f>Other!S36/1000</f>
        <v>0.10269301315338163</v>
      </c>
      <c r="K18" s="490">
        <f>Other!T36/1000</f>
        <v>0.14042420179385201</v>
      </c>
      <c r="L18" s="490">
        <f>Other!U36/1000</f>
        <v>9.5641701864038586E-2</v>
      </c>
      <c r="M18" s="429"/>
      <c r="N18" s="430"/>
      <c r="O18" s="430"/>
      <c r="P18" s="430"/>
    </row>
    <row r="19" spans="1:28" s="70" customFormat="1" ht="18.600000000000001" thickBot="1">
      <c r="A19" s="319" t="s">
        <v>344</v>
      </c>
      <c r="B19" s="491">
        <f>Other!$C37/1000</f>
        <v>5.9268176024470778</v>
      </c>
      <c r="C19" s="491">
        <f>Other!$H37/1000</f>
        <v>2.8653246418921907</v>
      </c>
      <c r="D19" s="491">
        <f>Other!M37/1000</f>
        <v>1.4223569546627475</v>
      </c>
      <c r="E19" s="491">
        <f>Other!N37/1000</f>
        <v>1.2553363125030856</v>
      </c>
      <c r="F19" s="491">
        <f>Other!O37/1000</f>
        <v>1.1928483793062916</v>
      </c>
      <c r="G19" s="491">
        <f>Other!P37/1000</f>
        <v>1.0308380301382216</v>
      </c>
      <c r="H19" s="491">
        <f>Other!Q37/1000</f>
        <v>0.95611480439973473</v>
      </c>
      <c r="I19" s="491">
        <f>Other!R37/1000</f>
        <v>0.82079583591396221</v>
      </c>
      <c r="J19" s="491">
        <f>Other!S37/1000</f>
        <v>0.85146440085688568</v>
      </c>
      <c r="K19" s="491">
        <f>Other!T37/1000</f>
        <v>0.91252264447430653</v>
      </c>
      <c r="L19" s="491">
        <f>Other!U37/1000</f>
        <v>0.73885198959083531</v>
      </c>
      <c r="M19" s="429"/>
      <c r="N19" s="430"/>
      <c r="O19" s="430"/>
      <c r="P19" s="430"/>
    </row>
    <row r="20" spans="1:28" s="70" customFormat="1" ht="15.6">
      <c r="B20" s="329"/>
      <c r="C20" s="329"/>
      <c r="D20" s="329"/>
      <c r="E20" s="329"/>
      <c r="F20" s="329"/>
      <c r="G20" s="12"/>
      <c r="H20" s="12"/>
      <c r="I20" s="12"/>
      <c r="J20" s="12"/>
      <c r="K20" s="12"/>
      <c r="L20" s="12"/>
      <c r="M20" s="12"/>
    </row>
    <row r="21" spans="1:28" s="70" customFormat="1" ht="13.8">
      <c r="B21" s="328"/>
      <c r="C21" s="328"/>
      <c r="D21" s="328"/>
      <c r="E21" s="328"/>
      <c r="F21" s="328"/>
      <c r="G21" s="328"/>
      <c r="H21" s="328"/>
      <c r="I21" s="328"/>
      <c r="J21" s="328"/>
      <c r="K21" s="328"/>
      <c r="L21" s="328"/>
      <c r="M21" s="328"/>
    </row>
    <row r="22" spans="1:28" s="70" customFormat="1" ht="16.2" thickBot="1">
      <c r="A22" s="47" t="s">
        <v>637</v>
      </c>
      <c r="O22" s="47" t="s">
        <v>642</v>
      </c>
    </row>
    <row r="23" spans="1:28" s="70" customFormat="1" ht="15.6">
      <c r="A23" s="899" t="s">
        <v>330</v>
      </c>
      <c r="B23" s="552">
        <v>2005</v>
      </c>
      <c r="C23" s="552">
        <v>2010</v>
      </c>
      <c r="D23" s="552">
        <v>2015</v>
      </c>
      <c r="E23" s="552">
        <v>2016</v>
      </c>
      <c r="F23" s="552">
        <v>2017</v>
      </c>
      <c r="G23" s="552">
        <v>2018</v>
      </c>
      <c r="H23" s="553">
        <v>2019</v>
      </c>
      <c r="I23" s="553">
        <v>2020</v>
      </c>
      <c r="J23" s="553">
        <v>2021</v>
      </c>
      <c r="K23" s="553">
        <v>2022</v>
      </c>
      <c r="L23" s="553">
        <f>L3</f>
        <v>2023</v>
      </c>
      <c r="M23" s="553" t="str">
        <f>M3</f>
        <v>2024*</v>
      </c>
      <c r="O23" s="899" t="s">
        <v>330</v>
      </c>
      <c r="P23" s="552">
        <v>2005</v>
      </c>
      <c r="Q23" s="552">
        <v>2010</v>
      </c>
      <c r="R23" s="552">
        <v>2015</v>
      </c>
      <c r="S23" s="552">
        <v>2016</v>
      </c>
      <c r="T23" s="552">
        <v>2017</v>
      </c>
      <c r="U23" s="552">
        <v>2018</v>
      </c>
      <c r="V23" s="553">
        <v>2019</v>
      </c>
      <c r="W23" s="553">
        <v>2020</v>
      </c>
      <c r="X23" s="553">
        <v>2021</v>
      </c>
      <c r="Y23" s="553">
        <v>2022</v>
      </c>
      <c r="Z23" s="553">
        <v>2023</v>
      </c>
      <c r="AA23" s="553" t="str">
        <f>M23</f>
        <v>2024*</v>
      </c>
      <c r="AB23" s="355"/>
    </row>
    <row r="24" spans="1:28" s="70" customFormat="1" ht="16.2" customHeight="1" thickBot="1">
      <c r="A24" s="900"/>
      <c r="B24" s="434" t="s">
        <v>345</v>
      </c>
      <c r="C24" s="434"/>
      <c r="D24" s="434"/>
      <c r="E24" s="434"/>
      <c r="F24" s="434"/>
      <c r="G24" s="435"/>
      <c r="H24" s="435"/>
      <c r="I24" s="435"/>
      <c r="J24" s="435"/>
      <c r="K24" s="435"/>
      <c r="L24" s="435"/>
      <c r="M24" s="435"/>
      <c r="O24" s="900"/>
      <c r="P24" s="434" t="s">
        <v>377</v>
      </c>
      <c r="Q24" s="434"/>
      <c r="R24" s="434"/>
      <c r="S24" s="434"/>
      <c r="T24" s="434"/>
      <c r="U24" s="434"/>
      <c r="V24" s="434"/>
      <c r="W24" s="434"/>
      <c r="X24" s="434"/>
      <c r="Y24" s="434"/>
      <c r="Z24" s="434"/>
      <c r="AA24" s="434"/>
      <c r="AB24" s="355"/>
    </row>
    <row r="25" spans="1:28" ht="18">
      <c r="A25" s="318" t="s">
        <v>338</v>
      </c>
      <c r="B25" s="320">
        <f>B5/('13'!Q$6-'13'!Q$7-'13'!Q$8+'13'!Q$9)*1000</f>
        <v>450.39296217940159</v>
      </c>
      <c r="C25" s="320">
        <f>C5/('13'!V$6-'13'!V$7-'13'!V$8+'13'!V$9)*1000</f>
        <v>382.27311196070917</v>
      </c>
      <c r="D25" s="320">
        <f>D5/('13'!AA$6-'13'!AA$7-'13'!AA$8+'13'!AA$9)*1000</f>
        <v>315.96173962625392</v>
      </c>
      <c r="E25" s="320">
        <f>E5/('13'!AB$6-'13'!AB$7-'13'!AB$8+'13'!AB$9)*1000</f>
        <v>308.06424190877243</v>
      </c>
      <c r="F25" s="320">
        <f>F5/('13'!AC$6-'13'!AC$7-'13'!AC$8+'13'!AC$9)*1000</f>
        <v>303.22560580227639</v>
      </c>
      <c r="G25" s="320">
        <f>G5/('13'!AD$6-'13'!AD$7-'13'!AD$8+'13'!AD$9)*1000</f>
        <v>285.83333563138297</v>
      </c>
      <c r="H25" s="320">
        <f>H5/('13'!AE$6-'13'!AE$7-'13'!AE$8+'13'!AE$9)*1000</f>
        <v>270.69681755201674</v>
      </c>
      <c r="I25" s="320">
        <f>I5/('13'!AF$6-'13'!AF$7-'13'!AF$8+'13'!AF$9)*1000</f>
        <v>255.15960876547706</v>
      </c>
      <c r="J25" s="320">
        <f>J5/('13'!AG$6-'13'!AG$7-'13'!AG$8+'13'!AG$9)*1000</f>
        <v>261.9107805056114</v>
      </c>
      <c r="K25" s="320">
        <f>K5/('13'!AH$6-'13'!AH$7-'13'!AH$8+'13'!AH$9)*1000</f>
        <v>293.36212709853493</v>
      </c>
      <c r="L25" s="320">
        <f>L5/('13'!AI$6-'13'!AI$7-'13'!AI$8+'13'!AI$9)*1000</f>
        <v>251.26800455868931</v>
      </c>
      <c r="M25" s="579">
        <f>M5/('13'!AJ$6-'13'!AJ$7-'13'!AJ$8+'13'!AJ$9)*1000</f>
        <v>217.69508733083353</v>
      </c>
      <c r="O25" s="318" t="s">
        <v>364</v>
      </c>
      <c r="P25" s="320">
        <f>P5/('13'!Q$6-'13'!Q$7-'13'!Q$8)*1000</f>
        <v>487.61673063162402</v>
      </c>
      <c r="Q25" s="320">
        <f>Q5/('13'!V$6-'13'!V$7-'13'!V$8)*1000</f>
        <v>407.36304443551535</v>
      </c>
      <c r="R25" s="320">
        <f>R5/('13'!AA$6-'13'!AA$7-'13'!AA$8)*1000</f>
        <v>335.80007054950579</v>
      </c>
      <c r="S25" s="320">
        <f>S5/('13'!AB$6-'13'!AB$7-'13'!AB$8)*1000</f>
        <v>325.98029179355052</v>
      </c>
      <c r="T25" s="320">
        <f>T5/('13'!AC$6-'13'!AC$7-'13'!AC$8)*1000</f>
        <v>320.76804897053978</v>
      </c>
      <c r="U25" s="320">
        <f>U5/('13'!AD$6-'13'!AD$7-'13'!AD$8)*1000</f>
        <v>300.82584478742496</v>
      </c>
      <c r="V25" s="320">
        <f>V5/('13'!AE$6-'13'!AE$7-'13'!AE$8)*1000</f>
        <v>281.90211204025854</v>
      </c>
      <c r="W25" s="320">
        <f>W5/('13'!AF$6-'13'!AF$7-'13'!AF$8)*1000</f>
        <v>263.7014807362545</v>
      </c>
      <c r="X25" s="612">
        <f>X5/('13'!AG$6-'13'!AG$7-'13'!AG$8)*1000</f>
        <v>271.60144209981274</v>
      </c>
      <c r="Y25" s="612">
        <f>Y5/('13'!AH$6-'13'!AH$7-'13'!AH$8)*1000</f>
        <v>307.33287136375128</v>
      </c>
      <c r="Z25" s="612">
        <f>Z5/('13'!AI$6-'13'!AI$7-'13'!AI$8)*1000</f>
        <v>256.3290691235448</v>
      </c>
      <c r="AA25" s="579">
        <f>AA5/('13'!AJ$6-'13'!AJ$7-'13'!AJ$8)*1000</f>
        <v>215.9125316918425</v>
      </c>
      <c r="AB25" s="320"/>
    </row>
    <row r="26" spans="1:28" ht="18">
      <c r="A26" s="318" t="s">
        <v>339</v>
      </c>
      <c r="B26" s="344">
        <f>B6/('13'!Q$6-'13'!Q$7-'13'!Q$8+'13'!Q$9)*1000</f>
        <v>0.50874340477488789</v>
      </c>
      <c r="C26" s="344">
        <f>C6/('13'!V$6-'13'!V$7-'13'!V$8+'13'!V$9)*1000</f>
        <v>0.54388060425302365</v>
      </c>
      <c r="D26" s="344">
        <f>D6/('13'!AA$6-'13'!AA$7-'13'!AA$8+'13'!AA$9)*1000</f>
        <v>0.73914586672351046</v>
      </c>
      <c r="E26" s="344">
        <f>E6/('13'!AB$6-'13'!AB$7-'13'!AB$8+'13'!AB$9)*1000</f>
        <v>0.74406644384435516</v>
      </c>
      <c r="F26" s="344">
        <f>F6/('13'!AC$6-'13'!AC$7-'13'!AC$8+'13'!AC$9)*1000</f>
        <v>0.72583273464793652</v>
      </c>
      <c r="G26" s="344">
        <f>G6/('13'!AD$6-'13'!AD$7-'13'!AD$8+'13'!AD$9)*1000</f>
        <v>0.71895683498271556</v>
      </c>
      <c r="H26" s="344">
        <f>H6/('13'!AE$6-'13'!AE$7-'13'!AE$8+'13'!AE$9)*1000</f>
        <v>0.71582723817450822</v>
      </c>
      <c r="I26" s="344">
        <f>I6/('13'!AF$6-'13'!AF$7-'13'!AF$8+'13'!AF$9)*1000</f>
        <v>0.71941420581625626</v>
      </c>
      <c r="J26" s="647">
        <f>J6/('13'!AG$6-'13'!AG$7-'13'!AG$8+'13'!AG$9)*1000</f>
        <v>0.69053621766822348</v>
      </c>
      <c r="K26" s="647">
        <f>K6/('13'!AH$6-'13'!AH$7-'13'!AH$8+'13'!AH$9)*1000</f>
        <v>0.6836418295747988</v>
      </c>
      <c r="L26" s="647">
        <f>L6/('13'!AI$6-'13'!AI$7-'13'!AI$8+'13'!AI$9)*1000</f>
        <v>0.64739922491848612</v>
      </c>
      <c r="M26" s="539">
        <f>M6/('13'!AJ$6-'13'!AJ$7-'13'!AJ$8+'13'!AJ$9)*1000</f>
        <v>0.56239643103822667</v>
      </c>
      <c r="O26" s="318" t="s">
        <v>365</v>
      </c>
      <c r="P26" s="342">
        <f>P6/('13'!Q$6-'13'!Q$7-'13'!Q$8)*1000</f>
        <v>0.54310022214435749</v>
      </c>
      <c r="Q26" s="342">
        <f>Q6/('13'!V$6-'13'!V$7-'13'!V$8)*1000</f>
        <v>0.5729288331745136</v>
      </c>
      <c r="R26" s="342">
        <f>R6/('13'!AA$6-'13'!AA$7-'13'!AA$8)*1000</f>
        <v>0.76686786124551232</v>
      </c>
      <c r="S26" s="342">
        <f>S6/('13'!AB$6-'13'!AB$7-'13'!AB$8)*1000</f>
        <v>0.77148886157949859</v>
      </c>
      <c r="T26" s="342">
        <f>T6/('13'!AC$6-'13'!AC$7-'13'!AC$8)*1000</f>
        <v>0.75348133764076475</v>
      </c>
      <c r="U26" s="342">
        <f>U6/('13'!AD$6-'13'!AD$7-'13'!AD$8)*1000</f>
        <v>0.73981514937459192</v>
      </c>
      <c r="V26" s="342">
        <f>V6/('13'!AE$6-'13'!AE$7-'13'!AE$8)*1000</f>
        <v>0.73483145559374408</v>
      </c>
      <c r="W26" s="342">
        <f>W6/('13'!AF$6-'13'!AF$7-'13'!AF$8)*1000</f>
        <v>0.73536510212904949</v>
      </c>
      <c r="X26" s="613">
        <f>X6/('13'!AG$6-'13'!AG$7-'13'!AG$8)*1000</f>
        <v>0.70701204966170361</v>
      </c>
      <c r="Y26" s="613">
        <f>Y6/('13'!AH$6-'13'!AH$7-'13'!AH$8)*1000</f>
        <v>0.70657190858742636</v>
      </c>
      <c r="Z26" s="613">
        <f>Z6/('13'!AI$6-'13'!AI$7-'13'!AI$8)*1000</f>
        <v>0.65403785290217908</v>
      </c>
      <c r="AA26" s="541">
        <f>AA6/('13'!AJ$6-'13'!AJ$7-'13'!AJ$8)*1000</f>
        <v>0.63698985252276263</v>
      </c>
      <c r="AB26" s="342"/>
    </row>
    <row r="27" spans="1:28" ht="18.600000000000001" thickBot="1">
      <c r="A27" s="319" t="s">
        <v>340</v>
      </c>
      <c r="B27" s="345">
        <f>B7/('13'!Q$6-'13'!Q$7-'13'!Q$8+'13'!Q$9)*1000</f>
        <v>1.2416484458539729</v>
      </c>
      <c r="C27" s="345">
        <f>C7/('13'!V$6-'13'!V$7-'13'!V$8+'13'!V$9)*1000</f>
        <v>1.2865172248352676</v>
      </c>
      <c r="D27" s="345">
        <f>D7/('13'!AA$6-'13'!AA$7-'13'!AA$8+'13'!AA$9)*1000</f>
        <v>1.4700442419131297</v>
      </c>
      <c r="E27" s="345">
        <f>E7/('13'!AB$6-'13'!AB$7-'13'!AB$8+'13'!AB$9)*1000</f>
        <v>1.4217657609854988</v>
      </c>
      <c r="F27" s="345">
        <f>F7/('13'!AC$6-'13'!AC$7-'13'!AC$8+'13'!AC$9)*1000</f>
        <v>1.3161262069133537</v>
      </c>
      <c r="G27" s="345">
        <f>G7/('13'!AD$6-'13'!AD$7-'13'!AD$8+'13'!AD$9)*1000</f>
        <v>1.291763810621704</v>
      </c>
      <c r="H27" s="345">
        <f>H7/('13'!AE$6-'13'!AE$7-'13'!AE$8+'13'!AE$9)*1000</f>
        <v>1.1813406145808627</v>
      </c>
      <c r="I27" s="345">
        <f>I7/('13'!AF$6-'13'!AF$7-'13'!AF$8+'13'!AF$9)*1000</f>
        <v>1.1612498808428875</v>
      </c>
      <c r="J27" s="345">
        <f>J7/('13'!AG$6-'13'!AG$7-'13'!AG$8+'13'!AG$9)*1000</f>
        <v>1.0836477194102059</v>
      </c>
      <c r="K27" s="345">
        <f>K7/('13'!AH$6-'13'!AH$7-'13'!AH$8+'13'!AH$9)*1000</f>
        <v>1.1724696443598757</v>
      </c>
      <c r="L27" s="345">
        <f>L7/('13'!AI$6-'13'!AI$7-'13'!AI$8+'13'!AI$9)*1000</f>
        <v>1.0800119948039495</v>
      </c>
      <c r="M27" s="540">
        <f>M7/('13'!AJ$6-'13'!AJ$7-'13'!AJ$8+'13'!AJ$9)*1000</f>
        <v>0.91780451463877466</v>
      </c>
      <c r="O27" s="319" t="s">
        <v>366</v>
      </c>
      <c r="P27" s="343">
        <f>P7/('13'!Q$6-'13'!Q$7-'13'!Q$8)*1000</f>
        <v>1.3255003218506098</v>
      </c>
      <c r="Q27" s="343">
        <f>Q7/('13'!V$6-'13'!V$7-'13'!V$8)*1000</f>
        <v>1.3552290828537774</v>
      </c>
      <c r="R27" s="343">
        <f>R7/('13'!AA$6-'13'!AA$7-'13'!AA$8)*1000</f>
        <v>1.5251789051184648</v>
      </c>
      <c r="S27" s="343">
        <f>S7/('13'!AB$6-'13'!AB$7-'13'!AB$8)*1000</f>
        <v>1.4741646494743124</v>
      </c>
      <c r="T27" s="343">
        <f>T7/('13'!AC$6-'13'!AC$7-'13'!AC$8)*1000</f>
        <v>1.3662604172435815</v>
      </c>
      <c r="U27" s="343">
        <f>U7/('13'!AD$6-'13'!AD$7-'13'!AD$8)*1000</f>
        <v>1.3292403521482108</v>
      </c>
      <c r="V27" s="343">
        <f>V7/('13'!AE$6-'13'!AE$7-'13'!AE$8)*1000</f>
        <v>1.2127035645894724</v>
      </c>
      <c r="W27" s="343">
        <f>W7/('13'!AF$6-'13'!AF$7-'13'!AF$8)*1000</f>
        <v>1.1869971850979542</v>
      </c>
      <c r="X27" s="614">
        <f>X7/('13'!AG$6-'13'!AG$7-'13'!AG$8)*1000</f>
        <v>1.1095029856631606</v>
      </c>
      <c r="Y27" s="614">
        <f>Y7/('13'!AH$6-'13'!AH$7-'13'!AH$8)*1000</f>
        <v>1.2117955317208065</v>
      </c>
      <c r="Z27" s="614">
        <f>Z7/('13'!AI$6-'13'!AI$7-'13'!AI$8)*1000</f>
        <v>1.0910867653249252</v>
      </c>
      <c r="AA27" s="542">
        <f>AA7/('13'!AJ$6-'13'!AJ$7-'13'!AJ$8)*1000</f>
        <v>1.0626467484257538</v>
      </c>
      <c r="AB27" s="357"/>
    </row>
    <row r="28" spans="1:28" ht="16.2" thickBot="1">
      <c r="A28" s="319" t="s">
        <v>331</v>
      </c>
      <c r="B28" s="321">
        <f>B8/('13'!Q$6-'13'!Q$7-'13'!Q$8+'13'!Q$9)*1000</f>
        <v>452.14335403003048</v>
      </c>
      <c r="C28" s="321">
        <f>C8/('13'!V$6-'13'!V$7-'13'!V$8+'13'!V$9)*1000</f>
        <v>384.10350978979744</v>
      </c>
      <c r="D28" s="321">
        <f>D8/('13'!AA$6-'13'!AA$7-'13'!AA$8+'13'!AA$9)*1000</f>
        <v>318.17092973489054</v>
      </c>
      <c r="E28" s="321">
        <f>E8/('13'!AB$6-'13'!AB$7-'13'!AB$8+'13'!AB$9)*1000</f>
        <v>310.23007411360226</v>
      </c>
      <c r="F28" s="321">
        <f>F8/('13'!AC$6-'13'!AC$7-'13'!AC$8+'13'!AC$9)*1000</f>
        <v>305.26756474383762</v>
      </c>
      <c r="G28" s="321">
        <f>G8/('13'!AD$6-'13'!AD$7-'13'!AD$8+'13'!AD$9)*1000</f>
        <v>287.84405627698737</v>
      </c>
      <c r="H28" s="321">
        <f>H8/('13'!AE$6-'13'!AE$7-'13'!AE$8+'13'!AE$9)*1000</f>
        <v>272.59398540477207</v>
      </c>
      <c r="I28" s="321">
        <f>I8/('13'!AF$6-'13'!AF$7-'13'!AF$8+'13'!AF$9)*1000</f>
        <v>257.04027285213618</v>
      </c>
      <c r="J28" s="321">
        <f>J8/('13'!AG$6-'13'!AG$7-'13'!AG$8+'13'!AG$9)*1000</f>
        <v>263.68496444268982</v>
      </c>
      <c r="K28" s="321">
        <f>K8/('13'!AH$6-'13'!AH$7-'13'!AH$8+'13'!AH$9)*1000</f>
        <v>295.21823857246966</v>
      </c>
      <c r="L28" s="321">
        <f>L8/('13'!AI$6-'13'!AI$7-'13'!AI$8+'13'!AI$9)*1000</f>
        <v>252.99541577841177</v>
      </c>
      <c r="M28" s="580">
        <f>M8/('13'!AJ$6-'13'!AJ$7-'13'!AJ$8+'13'!AJ$9)*1000</f>
        <v>219.17528827651051</v>
      </c>
      <c r="O28" s="319" t="s">
        <v>331</v>
      </c>
      <c r="P28" s="321">
        <f>P8/('13'!Q$6-'13'!Q$7-'13'!Q$8)*1000</f>
        <v>489.48533117561902</v>
      </c>
      <c r="Q28" s="321">
        <f>Q8/('13'!V$6-'13'!V$7-'13'!V$8)*1000</f>
        <v>409.29120235154363</v>
      </c>
      <c r="R28" s="321">
        <f>R8/('13'!AA$6-'13'!AA$7-'13'!AA$8)*1000</f>
        <v>338.09211731586981</v>
      </c>
      <c r="S28" s="321">
        <f>S8/('13'!AB$6-'13'!AB$7-'13'!AB$8)*1000</f>
        <v>328.22594530460429</v>
      </c>
      <c r="T28" s="321">
        <f>T8/('13'!AC$6-'13'!AC$7-'13'!AC$8)*1000</f>
        <v>322.88779072542417</v>
      </c>
      <c r="U28" s="321">
        <f>U8/('13'!AD$6-'13'!AD$7-'13'!AD$8)*1000</f>
        <v>302.89490028894772</v>
      </c>
      <c r="V28" s="321">
        <f>V8/('13'!AE$6-'13'!AE$7-'13'!AE$8)*1000</f>
        <v>283.84964706044173</v>
      </c>
      <c r="W28" s="321">
        <f>W8/('13'!AF$6-'13'!AF$7-'13'!AF$8)*1000</f>
        <v>265.62384302348147</v>
      </c>
      <c r="X28" s="615">
        <f>X8/('13'!AG$6-'13'!AG$7-'13'!AG$8)*1000</f>
        <v>273.41795713513761</v>
      </c>
      <c r="Y28" s="615">
        <f>Y8/('13'!AH$6-'13'!AH$7-'13'!AH$8)*1000</f>
        <v>309.25123880405948</v>
      </c>
      <c r="Z28" s="615">
        <f>Z8/('13'!AI$6-'13'!AI$7-'13'!AI$8)*1000</f>
        <v>258.07419374177192</v>
      </c>
      <c r="AA28" s="580">
        <f>AA8/('13'!AJ$6-'13'!AJ$7-'13'!AJ$8)*1000</f>
        <v>217.61216829279101</v>
      </c>
      <c r="AB28" s="358"/>
    </row>
    <row r="29" spans="1:28" ht="15.6">
      <c r="A29" s="70" t="s">
        <v>349</v>
      </c>
      <c r="B29" s="12"/>
      <c r="C29" s="12"/>
      <c r="D29" s="12"/>
      <c r="E29" s="12"/>
      <c r="F29" s="12"/>
      <c r="G29" s="12"/>
      <c r="H29" s="12"/>
      <c r="I29" s="12"/>
      <c r="J29" s="12"/>
      <c r="K29" s="12"/>
      <c r="L29" s="12"/>
      <c r="M29" s="12"/>
      <c r="P29" s="341"/>
      <c r="Q29" s="341"/>
      <c r="R29" s="341"/>
      <c r="S29" s="341"/>
      <c r="T29" s="341"/>
      <c r="U29" s="341"/>
      <c r="V29" s="341"/>
      <c r="W29" s="341"/>
      <c r="X29" s="616"/>
      <c r="Y29" s="341"/>
      <c r="Z29" s="341"/>
      <c r="AA29" s="341"/>
      <c r="AB29" s="341"/>
    </row>
    <row r="30" spans="1:28" ht="15.6">
      <c r="A30" s="12"/>
      <c r="B30" s="12"/>
      <c r="C30" s="12"/>
      <c r="D30" s="12"/>
      <c r="E30" s="12"/>
      <c r="F30" s="12"/>
      <c r="G30" s="12"/>
      <c r="H30" s="12"/>
      <c r="I30" s="12"/>
      <c r="J30" s="12"/>
      <c r="K30" s="12"/>
      <c r="L30" s="12"/>
      <c r="M30" s="12"/>
      <c r="P30" s="341"/>
      <c r="Q30" s="341"/>
      <c r="R30" s="341"/>
      <c r="S30" s="341"/>
      <c r="T30" s="341"/>
      <c r="U30" s="341"/>
      <c r="V30" s="341"/>
      <c r="W30" s="341"/>
      <c r="X30" s="616"/>
      <c r="Y30" s="341"/>
      <c r="Z30" s="341"/>
      <c r="AA30" s="341"/>
      <c r="AB30" s="341"/>
    </row>
    <row r="31" spans="1:28" ht="16.2" thickBot="1">
      <c r="A31" s="47" t="s">
        <v>380</v>
      </c>
      <c r="B31" s="12"/>
      <c r="C31" s="12"/>
      <c r="D31" s="12"/>
      <c r="E31" s="12"/>
      <c r="F31" s="12"/>
      <c r="G31" s="12"/>
      <c r="H31" s="12"/>
      <c r="I31" s="12"/>
      <c r="J31" s="12"/>
      <c r="K31" s="12"/>
      <c r="L31" s="12"/>
      <c r="M31" s="12"/>
      <c r="O31" s="47" t="s">
        <v>639</v>
      </c>
      <c r="P31" s="70"/>
      <c r="Q31" s="70"/>
      <c r="R31" s="70"/>
      <c r="S31" s="70"/>
      <c r="T31" s="70"/>
      <c r="U31" s="70"/>
      <c r="V31" s="70"/>
      <c r="W31" s="70"/>
      <c r="X31" s="61"/>
      <c r="Y31" s="70"/>
      <c r="Z31" s="70"/>
      <c r="AA31" s="70"/>
      <c r="AB31" s="70"/>
    </row>
    <row r="32" spans="1:28" ht="15.6">
      <c r="A32" s="899" t="s">
        <v>332</v>
      </c>
      <c r="B32" s="552">
        <v>2005</v>
      </c>
      <c r="C32" s="552">
        <v>2010</v>
      </c>
      <c r="D32" s="554">
        <v>2015</v>
      </c>
      <c r="E32" s="554">
        <v>2016</v>
      </c>
      <c r="F32" s="554">
        <v>2017</v>
      </c>
      <c r="G32" s="554">
        <v>2018</v>
      </c>
      <c r="H32" s="554">
        <v>2019</v>
      </c>
      <c r="I32" s="554">
        <v>2020</v>
      </c>
      <c r="J32" s="554">
        <v>2021</v>
      </c>
      <c r="K32" s="554">
        <v>2022</v>
      </c>
      <c r="L32" s="554">
        <v>2023</v>
      </c>
      <c r="M32" s="12"/>
      <c r="O32" s="899" t="s">
        <v>330</v>
      </c>
      <c r="P32" s="552">
        <v>2005</v>
      </c>
      <c r="Q32" s="552">
        <v>2010</v>
      </c>
      <c r="R32" s="552">
        <v>2015</v>
      </c>
      <c r="S32" s="552">
        <v>2016</v>
      </c>
      <c r="T32" s="552">
        <v>2017</v>
      </c>
      <c r="U32" s="552">
        <v>2018</v>
      </c>
      <c r="V32" s="553">
        <v>2019</v>
      </c>
      <c r="W32" s="553">
        <v>2020</v>
      </c>
      <c r="X32" s="553">
        <v>2021</v>
      </c>
      <c r="Y32" s="553">
        <v>2022</v>
      </c>
      <c r="Z32" s="553">
        <v>2023</v>
      </c>
      <c r="AA32" s="553" t="str">
        <f>AA23</f>
        <v>2024*</v>
      </c>
      <c r="AB32" s="355"/>
    </row>
    <row r="33" spans="1:28" ht="16.2" customHeight="1" thickBot="1">
      <c r="A33" s="900"/>
      <c r="B33" s="436" t="s">
        <v>361</v>
      </c>
      <c r="C33" s="436"/>
      <c r="D33" s="436"/>
      <c r="E33" s="436"/>
      <c r="F33" s="436"/>
      <c r="G33" s="436"/>
      <c r="H33" s="436"/>
      <c r="I33" s="436"/>
      <c r="J33" s="436"/>
      <c r="K33" s="436"/>
      <c r="L33" s="436"/>
      <c r="M33" s="12"/>
      <c r="O33" s="900"/>
      <c r="P33" s="434" t="s">
        <v>377</v>
      </c>
      <c r="Q33" s="434"/>
      <c r="R33" s="434"/>
      <c r="S33" s="434"/>
      <c r="T33" s="434"/>
      <c r="U33" s="434"/>
      <c r="V33" s="434"/>
      <c r="W33" s="434"/>
      <c r="X33" s="617"/>
      <c r="Y33" s="434"/>
      <c r="Z33" s="434"/>
      <c r="AA33" s="434"/>
      <c r="AB33" s="355"/>
    </row>
    <row r="34" spans="1:28" ht="18">
      <c r="A34" s="318" t="s">
        <v>341</v>
      </c>
      <c r="B34" s="488">
        <f>B14/('13'!Q$6-'13'!Q$7-'13'!Q$8+'13'!Q$9)*1000</f>
        <v>368.43748306215741</v>
      </c>
      <c r="C34" s="488">
        <f>C14/('13'!V$6-'13'!V$7-'13'!V$8+'13'!V$9)*1000</f>
        <v>287.91750679522255</v>
      </c>
      <c r="D34" s="488">
        <f>D14/('13'!AA$6-'13'!AA$7-'13'!AA$8+'13'!AA$9)*1000</f>
        <v>253.12025934288991</v>
      </c>
      <c r="E34" s="488">
        <f>E14/('13'!AB$6-'13'!AB$7-'13'!AB$8+'13'!AB$9)*1000</f>
        <v>237.65816959349007</v>
      </c>
      <c r="F34" s="488">
        <f>F14/('13'!AC$6-'13'!AC$7-'13'!AC$8+'13'!AC$9)*1000</f>
        <v>226.90532395116176</v>
      </c>
      <c r="G34" s="488">
        <f>G14/('13'!AD$6-'13'!AD$7-'13'!AD$8+'13'!AD$9)*1000</f>
        <v>218.32430463671815</v>
      </c>
      <c r="H34" s="488">
        <f>H14/('13'!AE$6-'13'!AE$7-'13'!AE$8+'13'!AE$9)*1000</f>
        <v>210.26505920973912</v>
      </c>
      <c r="I34" s="488">
        <f>I14/('13'!AF$6-'13'!AF$7-'13'!AF$8+'13'!AF$9)*1000</f>
        <v>200.96844135440847</v>
      </c>
      <c r="J34" s="488">
        <f>J14/('13'!AG$6-'13'!AG$7-'13'!AG$8+'13'!AG$9)*1000</f>
        <v>199.45430801356943</v>
      </c>
      <c r="K34" s="488">
        <f>K14/('13'!AH$6-'13'!AH$7-'13'!AH$8+'13'!AH$9)*1000</f>
        <v>207.91323743588583</v>
      </c>
      <c r="L34" s="488">
        <f>L14/('13'!AI$6-'13'!AI$7-'13'!AI$8+'13'!AI$9)*1000</f>
        <v>197.47185440673866</v>
      </c>
      <c r="M34" s="66"/>
      <c r="N34" s="56"/>
      <c r="O34" s="318" t="s">
        <v>364</v>
      </c>
      <c r="P34" s="320">
        <f>P5/('13'!Q$18)*1000</f>
        <v>467.14999905583431</v>
      </c>
      <c r="Q34" s="320">
        <f>Q5/('13'!V$18)*1000</f>
        <v>392.75865789104353</v>
      </c>
      <c r="R34" s="320">
        <f>R5/('13'!AA$18)*1000</f>
        <v>318.15129188032125</v>
      </c>
      <c r="S34" s="320">
        <f>S5/('13'!AB$18)*1000</f>
        <v>317.63427507602245</v>
      </c>
      <c r="T34" s="320">
        <f>T5/('13'!AC$18)*1000</f>
        <v>312.39874110051488</v>
      </c>
      <c r="U34" s="320">
        <f>U5/('13'!AD$18)*1000</f>
        <v>285.50826902086612</v>
      </c>
      <c r="V34" s="320">
        <f>V5/('13'!AE$18)*1000</f>
        <v>272.76178671426317</v>
      </c>
      <c r="W34" s="320">
        <f>W5/('13'!AF$18)*1000</f>
        <v>258.84494133941354</v>
      </c>
      <c r="X34" s="612">
        <f>X5/('13'!AG$18)*1000</f>
        <v>259.0473031539575</v>
      </c>
      <c r="Y34" s="612">
        <f>Y5/('13'!AH$18)*1000</f>
        <v>293.00455999029657</v>
      </c>
      <c r="Z34" s="612">
        <f>Z5/('13'!AI$18)*1000</f>
        <v>234.72246427914061</v>
      </c>
      <c r="AA34" s="579">
        <f>AA5/('13'!AJ$18)*1000</f>
        <v>198.93896396123796</v>
      </c>
      <c r="AB34" s="320"/>
    </row>
    <row r="35" spans="1:28" ht="18">
      <c r="A35" s="318" t="s">
        <v>342</v>
      </c>
      <c r="B35" s="488">
        <f>B15/('13'!Q$6-'13'!Q$7-'13'!Q$8+'13'!Q$9)*1000</f>
        <v>524.74683520533392</v>
      </c>
      <c r="C35" s="488">
        <f>C15/('13'!V$6-'13'!V$7-'13'!V$8+'13'!V$9)*1000</f>
        <v>222.36658053281423</v>
      </c>
      <c r="D35" s="488">
        <f>D15/('13'!AA$6-'13'!AA$7-'13'!AA$8+'13'!AA$9)*1000</f>
        <v>95.407750884221969</v>
      </c>
      <c r="E35" s="488">
        <f>E15/('13'!AB$6-'13'!AB$7-'13'!AB$8+'13'!AB$9)*1000</f>
        <v>71.721235123224687</v>
      </c>
      <c r="F35" s="488">
        <f>F15/('13'!AC$6-'13'!AC$7-'13'!AC$8+'13'!AC$9)*1000</f>
        <v>63.305450692555787</v>
      </c>
      <c r="G35" s="488">
        <f>G15/('13'!AD$6-'13'!AD$7-'13'!AD$8+'13'!AD$9)*1000</f>
        <v>58.406773735231042</v>
      </c>
      <c r="H35" s="488">
        <f>H15/('13'!AE$6-'13'!AE$7-'13'!AE$8+'13'!AE$9)*1000</f>
        <v>47.863681066305865</v>
      </c>
      <c r="I35" s="488">
        <f>I15/('13'!AF$6-'13'!AF$7-'13'!AF$8+'13'!AF$9)*1000</f>
        <v>42.728833573327421</v>
      </c>
      <c r="J35" s="488">
        <f>J15/('13'!AG$6-'13'!AG$7-'13'!AG$8+'13'!AG$9)*1000</f>
        <v>39.030545508540435</v>
      </c>
      <c r="K35" s="488">
        <f>K15/('13'!AH$6-'13'!AH$7-'13'!AH$8+'13'!AH$9)*1000</f>
        <v>49.584660859875903</v>
      </c>
      <c r="L35" s="488">
        <f>L15/('13'!AI$6-'13'!AI$7-'13'!AI$8+'13'!AI$9)*1000</f>
        <v>41.751581210611803</v>
      </c>
      <c r="M35" s="66"/>
      <c r="N35" s="56"/>
      <c r="O35" s="318" t="s">
        <v>365</v>
      </c>
      <c r="P35" s="342">
        <f>P6/('13'!Q$18)*1000</f>
        <v>0.5203046826004577</v>
      </c>
      <c r="Q35" s="342">
        <f>Q6/('13'!V$18)*1000</f>
        <v>0.55238874183228504</v>
      </c>
      <c r="R35" s="342">
        <f>R6/('13'!AA$18)*1000</f>
        <v>0.72656328022060257</v>
      </c>
      <c r="S35" s="342">
        <f>S6/('13'!AB$18)*1000</f>
        <v>0.75173656643091002</v>
      </c>
      <c r="T35" s="342">
        <f>T6/('13'!AC$18)*1000</f>
        <v>0.73382190675519998</v>
      </c>
      <c r="U35" s="342">
        <f>U6/('13'!AD$18)*1000</f>
        <v>0.70214493320084148</v>
      </c>
      <c r="V35" s="342">
        <f>V6/('13'!AE$18)*1000</f>
        <v>0.71100545970002638</v>
      </c>
      <c r="W35" s="342">
        <f>W6/('13'!AF$18)*1000</f>
        <v>0.72182202463255396</v>
      </c>
      <c r="X35" s="613">
        <f>X6/('13'!AG$18)*1000</f>
        <v>0.67433207771742698</v>
      </c>
      <c r="Y35" s="613">
        <f>Y6/('13'!AH$18)*1000</f>
        <v>0.67363048494779776</v>
      </c>
      <c r="Z35" s="613">
        <f>Z6/('13'!AI$18)*1000</f>
        <v>0.59890740090444305</v>
      </c>
      <c r="AA35" s="541">
        <f>AA6/('13'!AJ$18)*1000</f>
        <v>0.58691406340212848</v>
      </c>
      <c r="AB35" s="342"/>
    </row>
    <row r="36" spans="1:28" ht="16.2" thickBot="1">
      <c r="A36" s="318" t="s">
        <v>334</v>
      </c>
      <c r="B36" s="488">
        <f>B16/('13'!Q$6-'13'!Q$7-'13'!Q$8+'13'!Q$9)*1000</f>
        <v>50.952106163959037</v>
      </c>
      <c r="C36" s="488">
        <f>C16/('13'!V$6-'13'!V$7-'13'!V$8+'13'!V$9)*1000</f>
        <v>70.576437483651773</v>
      </c>
      <c r="D36" s="488">
        <f>D16/('13'!AA$6-'13'!AA$7-'13'!AA$8+'13'!AA$9)*1000</f>
        <v>80.571788545177881</v>
      </c>
      <c r="E36" s="488">
        <f>E16/('13'!AB$6-'13'!AB$7-'13'!AB$8+'13'!AB$9)*1000</f>
        <v>85.646878895788049</v>
      </c>
      <c r="F36" s="488">
        <f>F16/('13'!AC$6-'13'!AC$7-'13'!AC$8+'13'!AC$9)*1000</f>
        <v>84.449296814332143</v>
      </c>
      <c r="G36" s="488">
        <f>G16/('13'!AD$6-'13'!AD$7-'13'!AD$8+'13'!AD$9)*1000</f>
        <v>85.341705901226021</v>
      </c>
      <c r="H36" s="488">
        <f>H16/('13'!AE$6-'13'!AE$7-'13'!AE$8+'13'!AE$9)*1000</f>
        <v>87.529169508083783</v>
      </c>
      <c r="I36" s="488">
        <f>I16/('13'!AF$6-'13'!AF$7-'13'!AF$8+'13'!AF$9)*1000</f>
        <v>89.645273454956723</v>
      </c>
      <c r="J36" s="488">
        <f>J16/('13'!AG$6-'13'!AG$7-'13'!AG$8+'13'!AG$9)*1000</f>
        <v>85.571357197159372</v>
      </c>
      <c r="K36" s="488">
        <f>K16/('13'!AH$6-'13'!AH$7-'13'!AH$8+'13'!AH$9)*1000</f>
        <v>84.752068085319706</v>
      </c>
      <c r="L36" s="488">
        <f>L16/('13'!AI$6-'13'!AI$7-'13'!AI$8+'13'!AI$9)*1000</f>
        <v>92.509116219676272</v>
      </c>
      <c r="M36" s="429"/>
      <c r="N36" s="56"/>
      <c r="O36" s="319" t="s">
        <v>366</v>
      </c>
      <c r="P36" s="343">
        <f>P7/('13'!Q$18)*1000</f>
        <v>1.2698651116809367</v>
      </c>
      <c r="Q36" s="343">
        <f>Q7/('13'!V$18)*1000</f>
        <v>1.3066427183009179</v>
      </c>
      <c r="R36" s="343">
        <f>R7/('13'!AA$18)*1000</f>
        <v>1.4450194671430738</v>
      </c>
      <c r="S36" s="343">
        <f>S7/('13'!AB$18)*1000</f>
        <v>1.4364218683349743</v>
      </c>
      <c r="T36" s="343">
        <f>T7/('13'!AC$18)*1000</f>
        <v>1.3306126833148497</v>
      </c>
      <c r="U36" s="343">
        <f>U7/('13'!AD$18)*1000</f>
        <v>1.2615575377929971</v>
      </c>
      <c r="V36" s="343">
        <f>V7/('13'!AE$18)*1000</f>
        <v>1.1733831599847737</v>
      </c>
      <c r="W36" s="343">
        <f>W7/('13'!AF$18)*1000</f>
        <v>1.1651364864880238</v>
      </c>
      <c r="X36" s="614">
        <f>X7/('13'!AG$18)*1000</f>
        <v>1.0582188152435583</v>
      </c>
      <c r="Y36" s="614">
        <f>Y7/('13'!AH$18)*1000</f>
        <v>1.15529983823247</v>
      </c>
      <c r="Z36" s="614">
        <f>Z7/('13'!AI$18)*1000</f>
        <v>0.99911639040824951</v>
      </c>
      <c r="AA36" s="542">
        <f>AA7/('13'!AJ$18)*1000</f>
        <v>0.97910872301899277</v>
      </c>
      <c r="AB36" s="357"/>
    </row>
    <row r="37" spans="1:28" ht="16.2" thickBot="1">
      <c r="A37" s="318" t="s">
        <v>348</v>
      </c>
      <c r="B37" s="488">
        <f>B17/('13'!Q$6-'13'!Q$7-'13'!Q$8+'13'!Q$9)*1000</f>
        <v>105.48921747569499</v>
      </c>
      <c r="C37" s="488">
        <f>C17/('13'!V$6-'13'!V$7-'13'!V$8+'13'!V$9)*1000</f>
        <v>101.07463574892414</v>
      </c>
      <c r="D37" s="488">
        <f>D17/('13'!AA$6-'13'!AA$7-'13'!AA$8+'13'!AA$9)*1000</f>
        <v>94.318300721609404</v>
      </c>
      <c r="E37" s="488">
        <f>E17/('13'!AB$6-'13'!AB$7-'13'!AB$8+'13'!AB$9)*1000</f>
        <v>96.2962353135635</v>
      </c>
      <c r="F37" s="488">
        <f>F17/('13'!AC$6-'13'!AC$7-'13'!AC$8+'13'!AC$9)*1000</f>
        <v>97.605342235878567</v>
      </c>
      <c r="G37" s="488">
        <f>G17/('13'!AD$6-'13'!AD$7-'13'!AD$8+'13'!AD$9)*1000</f>
        <v>93.374912434645296</v>
      </c>
      <c r="H37" s="488">
        <f>H17/('13'!AE$6-'13'!AE$7-'13'!AE$8+'13'!AE$9)*1000</f>
        <v>94.633647306780176</v>
      </c>
      <c r="I37" s="488">
        <f>I17/('13'!AF$6-'13'!AF$7-'13'!AF$8+'13'!AF$9)*1000</f>
        <v>92.497396277233577</v>
      </c>
      <c r="J37" s="488">
        <f>J17/('13'!AG$6-'13'!AG$7-'13'!AG$8+'13'!AG$9)*1000</f>
        <v>92.436021006663239</v>
      </c>
      <c r="K37" s="488">
        <f>K17/('13'!AH$6-'13'!AH$7-'13'!AH$8+'13'!AH$9)*1000</f>
        <v>93.717699565787228</v>
      </c>
      <c r="L37" s="488">
        <f>L17/('13'!AI$6-'13'!AI$7-'13'!AI$8+'13'!AI$9)*1000</f>
        <v>86.045965726163061</v>
      </c>
      <c r="M37" s="429"/>
      <c r="N37" s="56"/>
      <c r="O37" s="319" t="s">
        <v>331</v>
      </c>
      <c r="P37" s="321">
        <f>P8/('13'!Q$18)*1000</f>
        <v>468.94016885011575</v>
      </c>
      <c r="Q37" s="321">
        <f>Q8/('13'!V$18)*1000</f>
        <v>394.61768935117675</v>
      </c>
      <c r="R37" s="321">
        <f>R8/('13'!AA$18)*1000</f>
        <v>320.32287462768494</v>
      </c>
      <c r="S37" s="321">
        <f>S8/('13'!AB$18)*1000</f>
        <v>319.82243351078824</v>
      </c>
      <c r="T37" s="321">
        <f>T8/('13'!AC$18)*1000</f>
        <v>314.46317569058499</v>
      </c>
      <c r="U37" s="321">
        <f>U8/('13'!AD$18)*1000</f>
        <v>287.47197149185996</v>
      </c>
      <c r="V37" s="321">
        <f>V8/('13'!AE$18)*1000</f>
        <v>274.64617533394795</v>
      </c>
      <c r="W37" s="321">
        <f>W8/('13'!AF$18)*1000</f>
        <v>260.73189985053409</v>
      </c>
      <c r="X37" s="615">
        <f>X8/('13'!AG$18)*1000</f>
        <v>260.77985404691844</v>
      </c>
      <c r="Y37" s="615">
        <f>Y8/('13'!AH$18)*1000</f>
        <v>294.83349031347683</v>
      </c>
      <c r="Z37" s="615">
        <f>Z8/('13'!AI$18)*1000</f>
        <v>236.32048807045334</v>
      </c>
      <c r="AA37" s="580">
        <f>AA8/('13'!AJ$18)*1000</f>
        <v>200.50498674765905</v>
      </c>
      <c r="AB37" s="358"/>
    </row>
    <row r="38" spans="1:28" ht="18">
      <c r="A38" s="318" t="s">
        <v>343</v>
      </c>
      <c r="B38" s="488">
        <f>B18/('13'!Q$6-'13'!Q$7-'13'!Q$8+'13'!Q$9)*1000</f>
        <v>0.66143593882702034</v>
      </c>
      <c r="C38" s="488">
        <f>C18/('13'!V$6-'13'!V$7-'13'!V$8+'13'!V$9)*1000</f>
        <v>0.64551912145032619</v>
      </c>
      <c r="D38" s="488">
        <f>D18/('13'!AA$6-'13'!AA$7-'13'!AA$8+'13'!AA$9)*1000</f>
        <v>0.70704320860179071</v>
      </c>
      <c r="E38" s="488">
        <f>E18/('13'!AB$6-'13'!AB$7-'13'!AB$8+'13'!AB$9)*1000</f>
        <v>0.60361748578005714</v>
      </c>
      <c r="F38" s="488">
        <f>F18/('13'!AC$6-'13'!AC$7-'13'!AC$8+'13'!AC$9)*1000</f>
        <v>0.53932618292852297</v>
      </c>
      <c r="G38" s="488">
        <f>G18/('13'!AD$6-'13'!AD$7-'13'!AD$8+'13'!AD$9)*1000</f>
        <v>0.49568039027864097</v>
      </c>
      <c r="H38" s="488">
        <f>H18/('13'!AE$6-'13'!AE$7-'13'!AE$8+'13'!AE$9)*1000</f>
        <v>0.37170371098779814</v>
      </c>
      <c r="I38" s="488">
        <f>I18/('13'!AF$6-'13'!AF$7-'13'!AF$8+'13'!AF$9)*1000</f>
        <v>0.31725456361502963</v>
      </c>
      <c r="J38" s="488">
        <f>J18/('13'!AG$6-'13'!AG$7-'13'!AG$8+'13'!AG$9)*1000</f>
        <v>0.29795410657487686</v>
      </c>
      <c r="K38" s="488">
        <f>K18/('13'!AH$6-'13'!AH$7-'13'!AH$8+'13'!AH$9)*1000</f>
        <v>0.41454223482094915</v>
      </c>
      <c r="L38" s="488">
        <f>L18/('13'!AI$6-'13'!AI$7-'13'!AI$8+'13'!AI$9)*1000</f>
        <v>0.30457625150919276</v>
      </c>
      <c r="M38" s="429"/>
      <c r="N38" s="56"/>
    </row>
    <row r="39" spans="1:28" ht="18.600000000000001" thickBot="1">
      <c r="A39" s="319" t="s">
        <v>344</v>
      </c>
      <c r="B39" s="492">
        <f>B19/('13'!Q$6-'13'!Q$7-'13'!Q$8+'13'!Q$9)*1000</f>
        <v>16.911209102494091</v>
      </c>
      <c r="C39" s="492">
        <f>C19/('13'!V$6-'13'!V$7-'13'!V$8+'13'!V$9)*1000</f>
        <v>8.0707908702624884</v>
      </c>
      <c r="D39" s="492">
        <f>D19/('13'!AA$6-'13'!AA$7-'13'!AA$8+'13'!AA$9)*1000</f>
        <v>4.1731941245415554</v>
      </c>
      <c r="E39" s="492">
        <f>E19/('13'!AB$6-'13'!AB$7-'13'!AB$8+'13'!AB$9)*1000</f>
        <v>3.5970673602119234</v>
      </c>
      <c r="F39" s="492">
        <f>F19/('13'!AC$6-'13'!AC$7-'13'!AC$8+'13'!AC$9)*1000</f>
        <v>3.3593452705839888</v>
      </c>
      <c r="G39" s="492">
        <f>G19/('13'!AD$6-'13'!AD$7-'13'!AD$8+'13'!AD$9)*1000</f>
        <v>2.96547303525705</v>
      </c>
      <c r="H39" s="492">
        <f>H19/('13'!AE$6-'13'!AE$7-'13'!AE$8+'13'!AE$9)*1000</f>
        <v>2.7142002588938805</v>
      </c>
      <c r="I39" s="492">
        <f>I19/('13'!AF$6-'13'!AF$7-'13'!AF$8+'13'!AF$9)*1000</f>
        <v>2.4292135073395831</v>
      </c>
      <c r="J39" s="492">
        <f>J19/('13'!AG$6-'13'!AG$7-'13'!AG$8+'13'!AG$9)*1000</f>
        <v>2.4704437726323749</v>
      </c>
      <c r="K39" s="492">
        <f>K19/('13'!AH$6-'13'!AH$7-'13'!AH$8+'13'!AH$9)*1000</f>
        <v>2.6938317721074139</v>
      </c>
      <c r="L39" s="492">
        <f>L19/('13'!AI$6-'13'!AI$7-'13'!AI$8+'13'!AI$9)*1000</f>
        <v>2.3529147330480522</v>
      </c>
      <c r="M39" s="860"/>
      <c r="N39" s="56"/>
    </row>
    <row r="40" spans="1:28" ht="15.6">
      <c r="A40" s="70" t="s">
        <v>349</v>
      </c>
      <c r="G40" s="12"/>
      <c r="H40" s="429"/>
      <c r="I40" s="429"/>
      <c r="J40" s="429"/>
      <c r="K40" s="429"/>
      <c r="L40" s="429"/>
      <c r="M40" s="429"/>
    </row>
    <row r="41" spans="1:28" ht="15.6">
      <c r="A41" s="70" t="s">
        <v>385</v>
      </c>
      <c r="G41" s="12"/>
      <c r="H41" s="429"/>
      <c r="I41" s="429"/>
      <c r="J41" s="429"/>
      <c r="K41" s="429"/>
      <c r="L41" s="429"/>
      <c r="M41" s="429"/>
    </row>
    <row r="44" spans="1:28">
      <c r="D44" s="211"/>
      <c r="E44" s="211"/>
      <c r="F44" s="211"/>
      <c r="G44" s="211"/>
      <c r="H44" s="211"/>
      <c r="I44" s="211"/>
      <c r="J44" s="211"/>
      <c r="K44" s="211"/>
      <c r="L44" s="211"/>
      <c r="M44" s="211"/>
    </row>
  </sheetData>
  <mergeCells count="7">
    <mergeCell ref="O3:O4"/>
    <mergeCell ref="O23:O24"/>
    <mergeCell ref="O32:O33"/>
    <mergeCell ref="A32:A33"/>
    <mergeCell ref="A3:A4"/>
    <mergeCell ref="A12:A13"/>
    <mergeCell ref="A23:A24"/>
  </mergeCells>
  <hyperlinks>
    <hyperlink ref="A1" location="Indice!A1" display="Torna indietro"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8"/>
  <dimension ref="A1:Q204"/>
  <sheetViews>
    <sheetView zoomScaleNormal="100" workbookViewId="0">
      <selection activeCell="O30" sqref="O30"/>
    </sheetView>
  </sheetViews>
  <sheetFormatPr defaultRowHeight="14.4"/>
  <cols>
    <col min="1" max="1" width="41.21875" customWidth="1"/>
    <col min="2" max="8" width="10.77734375" customWidth="1"/>
    <col min="9" max="9" width="10.77734375" bestFit="1" customWidth="1"/>
    <col min="10" max="10" width="11.21875" bestFit="1" customWidth="1"/>
    <col min="11" max="11" width="10.21875" bestFit="1" customWidth="1"/>
    <col min="12" max="12" width="10" bestFit="1" customWidth="1"/>
    <col min="13" max="13" width="9.77734375" bestFit="1" customWidth="1"/>
    <col min="14" max="14" width="10.21875" bestFit="1" customWidth="1"/>
    <col min="15" max="15" width="9.21875" bestFit="1" customWidth="1"/>
    <col min="16" max="16" width="12.44140625" customWidth="1"/>
  </cols>
  <sheetData>
    <row r="1" spans="1:8" ht="15.6">
      <c r="A1" s="113" t="s">
        <v>57</v>
      </c>
    </row>
    <row r="2" spans="1:8" ht="33.6" customHeight="1">
      <c r="A2" s="891" t="s">
        <v>279</v>
      </c>
      <c r="B2" s="891"/>
      <c r="C2" s="891"/>
      <c r="D2" s="891"/>
      <c r="E2" s="891"/>
      <c r="F2" s="891"/>
      <c r="G2" s="891"/>
      <c r="H2" s="891"/>
    </row>
    <row r="3" spans="1:8">
      <c r="B3" s="895" t="s">
        <v>11</v>
      </c>
      <c r="C3" s="895"/>
      <c r="D3" s="895"/>
      <c r="E3" s="895"/>
      <c r="F3" s="895"/>
      <c r="G3" s="895"/>
      <c r="H3" s="895"/>
    </row>
    <row r="4" spans="1:8" ht="28.8">
      <c r="B4" s="281" t="s">
        <v>5</v>
      </c>
      <c r="C4" s="281" t="s">
        <v>64</v>
      </c>
      <c r="D4" s="281" t="s">
        <v>7</v>
      </c>
      <c r="E4" s="281" t="s">
        <v>8</v>
      </c>
      <c r="F4" s="281" t="s">
        <v>267</v>
      </c>
      <c r="G4" s="281" t="s">
        <v>268</v>
      </c>
      <c r="H4" s="281" t="s">
        <v>10</v>
      </c>
    </row>
    <row r="5" spans="1:8">
      <c r="A5" s="283">
        <v>2023</v>
      </c>
      <c r="B5" s="896" t="s">
        <v>200</v>
      </c>
      <c r="C5" s="897"/>
      <c r="D5" s="897"/>
      <c r="E5" s="897"/>
      <c r="F5" s="897"/>
      <c r="G5" s="897"/>
      <c r="H5" s="898"/>
    </row>
    <row r="6" spans="1:8">
      <c r="A6" s="258" t="s">
        <v>286</v>
      </c>
      <c r="B6" s="279">
        <f>('6-x'!J25)/41.868</f>
        <v>3100.6835291869684</v>
      </c>
      <c r="C6" s="279">
        <f>('6-x'!K25)/41.868</f>
        <v>6846.3446474634566</v>
      </c>
      <c r="D6" s="279">
        <f>('6-x'!L25)/41.868</f>
        <v>3.9148753224419601</v>
      </c>
      <c r="E6" s="279">
        <f>('6-x'!M25)/41.868</f>
        <v>389.24376636094394</v>
      </c>
      <c r="F6" s="279">
        <f>('6-x'!N25)/41.868</f>
        <v>1608.2997661698671</v>
      </c>
      <c r="G6" s="279">
        <f>('6-x'!O25)/41.868</f>
        <v>496.2861290245533</v>
      </c>
      <c r="H6" s="279">
        <f>('6-x'!P25)/41.868</f>
        <v>12444.772713528231</v>
      </c>
    </row>
    <row r="7" spans="1:8">
      <c r="A7" s="257" t="s">
        <v>18</v>
      </c>
      <c r="B7" s="324">
        <f>('6-x'!J26)/41.868</f>
        <v>0</v>
      </c>
      <c r="C7" s="324">
        <f>('6-x'!K26)/41.868</f>
        <v>86.063045762873784</v>
      </c>
      <c r="D7" s="324">
        <f>('6-x'!L26)/41.868</f>
        <v>3.9148753224419601</v>
      </c>
      <c r="E7" s="324">
        <f>('6-x'!M26)/41.868</f>
        <v>44.099538072035926</v>
      </c>
      <c r="F7" s="324">
        <f>('6-x'!N26)/41.868</f>
        <v>130.80406133562624</v>
      </c>
      <c r="G7" s="324">
        <f>('6-x'!O26)/41.868</f>
        <v>483.96898060571323</v>
      </c>
      <c r="H7" s="279">
        <f>('6-x'!P26)/41.868</f>
        <v>748.8505010986911</v>
      </c>
    </row>
    <row r="8" spans="1:8">
      <c r="A8" s="257" t="s">
        <v>19</v>
      </c>
      <c r="B8" s="324">
        <f>('6-x'!J27)/41.868</f>
        <v>0</v>
      </c>
      <c r="C8" s="324">
        <f>('6-x'!K27)/41.868</f>
        <v>53.377407566638006</v>
      </c>
      <c r="D8" s="324">
        <f>('6-x'!L27)/41.868</f>
        <v>0</v>
      </c>
      <c r="E8" s="324">
        <f>('6-x'!M27)/41.868</f>
        <v>1.560339877710901</v>
      </c>
      <c r="F8" s="324">
        <f>('6-x'!N27)/41.868</f>
        <v>1.4216413490016242</v>
      </c>
      <c r="G8" s="324">
        <f>('6-x'!O27)/41.868</f>
        <v>9.4145258908951934</v>
      </c>
      <c r="H8" s="279">
        <f>('6-x'!P27)/41.868</f>
        <v>65.773914684245725</v>
      </c>
    </row>
    <row r="9" spans="1:8">
      <c r="A9" s="257" t="s">
        <v>20</v>
      </c>
      <c r="B9" s="324">
        <f>('6-x'!J28)/41.868</f>
        <v>3100.6835291869684</v>
      </c>
      <c r="C9" s="324">
        <f>('6-x'!K28)/41.868</f>
        <v>150.36139294926915</v>
      </c>
      <c r="D9" s="324">
        <f>('6-x'!L28)/41.868</f>
        <v>0</v>
      </c>
      <c r="E9" s="324">
        <f>('6-x'!M28)/41.868</f>
        <v>343.35733639056082</v>
      </c>
      <c r="F9" s="324">
        <f>('6-x'!N28)/41.868</f>
        <v>1196.6861335626254</v>
      </c>
      <c r="G9" s="324">
        <f>('6-x'!O28)/41.868</f>
        <v>1.8275771472246107</v>
      </c>
      <c r="H9" s="279">
        <f>('6-x'!P28)/41.868</f>
        <v>4792.9159692366484</v>
      </c>
    </row>
    <row r="10" spans="1:8">
      <c r="A10" s="257" t="s">
        <v>21</v>
      </c>
      <c r="B10" s="324">
        <f>('6-x'!J29)/41.868</f>
        <v>0</v>
      </c>
      <c r="C10" s="324">
        <f>('6-x'!K29)/41.868</f>
        <v>6556.5428011846761</v>
      </c>
      <c r="D10" s="324">
        <f>('6-x'!L29)/41.868</f>
        <v>0</v>
      </c>
      <c r="E10" s="324">
        <f>('6-x'!M29)/41.868</f>
        <v>0.22655202063628543</v>
      </c>
      <c r="F10" s="324">
        <f>('6-x'!N29)/41.868</f>
        <v>279.38792992261392</v>
      </c>
      <c r="G10" s="324">
        <f>('6-x'!O29)/41.868</f>
        <v>1.0750453807203593</v>
      </c>
      <c r="H10" s="279">
        <f>('6-x'!P29)/41.868</f>
        <v>6837.2323285086477</v>
      </c>
    </row>
    <row r="11" spans="1:8">
      <c r="A11" s="257" t="s">
        <v>23</v>
      </c>
      <c r="B11" s="324">
        <f>('6-x'!J30)/41.868</f>
        <v>0</v>
      </c>
      <c r="C11" s="324">
        <f>('6-x'!K30)/41.868</f>
        <v>0</v>
      </c>
      <c r="D11" s="324">
        <f>('6-x'!L30)/41.868</f>
        <v>0</v>
      </c>
      <c r="E11" s="324">
        <f>('6-x'!M30)/41.868</f>
        <v>0</v>
      </c>
      <c r="F11" s="324">
        <f>('6-x'!N30)/41.868</f>
        <v>0</v>
      </c>
      <c r="G11" s="324">
        <f>('6-x'!O30)/41.868</f>
        <v>0</v>
      </c>
      <c r="H11" s="279">
        <f>('6-x'!P30)/41.868</f>
        <v>0</v>
      </c>
    </row>
    <row r="12" spans="1:8">
      <c r="A12" s="257" t="s">
        <v>388</v>
      </c>
      <c r="B12" s="324">
        <f>('6-x'!J31)/41.868</f>
        <v>0</v>
      </c>
      <c r="C12" s="324">
        <f>('6-x'!K31)/41.868</f>
        <v>0</v>
      </c>
      <c r="D12" s="324">
        <f>('6-x'!L31)/41.868</f>
        <v>0</v>
      </c>
      <c r="E12" s="324">
        <f>('6-x'!M31)/41.868</f>
        <v>0</v>
      </c>
      <c r="F12" s="324">
        <f>('6-x'!N31)/41.868</f>
        <v>0</v>
      </c>
      <c r="G12" s="324">
        <f>('6-x'!O31)/41.868</f>
        <v>0</v>
      </c>
      <c r="H12" s="279">
        <f>('6-x'!P31)/41.868</f>
        <v>0</v>
      </c>
    </row>
    <row r="13" spans="1:8">
      <c r="A13" s="258" t="s">
        <v>287</v>
      </c>
      <c r="B13" s="279">
        <f>('6-x'!J32)/41.868</f>
        <v>0</v>
      </c>
      <c r="C13" s="279">
        <f>('6-x'!K32)/41.868</f>
        <v>11003.815735167673</v>
      </c>
      <c r="D13" s="279">
        <f>('6-x'!L32)/41.868</f>
        <v>233.0951920321009</v>
      </c>
      <c r="E13" s="279">
        <f>('6-x'!M32)/41.868</f>
        <v>300.94377113786186</v>
      </c>
      <c r="F13" s="279">
        <f>('6-x'!N32)/41.868</f>
        <v>2345.8603768988246</v>
      </c>
      <c r="G13" s="279">
        <f>('6-x'!O32)/41.868</f>
        <v>965.85160862711382</v>
      </c>
      <c r="H13" s="279">
        <f>('6-x'!P32)/41.868</f>
        <v>14849.566683863573</v>
      </c>
    </row>
    <row r="14" spans="1:8">
      <c r="A14" s="257" t="s">
        <v>25</v>
      </c>
      <c r="B14" s="324">
        <f>('6-x'!J33)/41.868</f>
        <v>0</v>
      </c>
      <c r="C14" s="324">
        <f>('6-x'!K33)/41.868</f>
        <v>1660.6572656921755</v>
      </c>
      <c r="D14" s="324">
        <f>('6-x'!L33)/41.868</f>
        <v>25.039563628546862</v>
      </c>
      <c r="E14" s="324">
        <f>('6-x'!M33)/41.868</f>
        <v>1.2376325594726283</v>
      </c>
      <c r="F14" s="324">
        <f>('6-x'!N33)/41.868</f>
        <v>199.79920368778062</v>
      </c>
      <c r="G14" s="324">
        <f>('6-x'!O33)/41.868</f>
        <v>958.50888626158405</v>
      </c>
      <c r="H14" s="279">
        <f>('6-x'!P33)/41.868</f>
        <v>2845.2425518295599</v>
      </c>
    </row>
    <row r="15" spans="1:8">
      <c r="A15" s="257" t="s">
        <v>26</v>
      </c>
      <c r="B15" s="324">
        <f>('6-x'!J34)/41.868</f>
        <v>0</v>
      </c>
      <c r="C15" s="324">
        <f>('6-x'!K34)/41.868</f>
        <v>668.73521066208082</v>
      </c>
      <c r="D15" s="324">
        <f>('6-x'!L34)/41.868</f>
        <v>0</v>
      </c>
      <c r="E15" s="324">
        <f>('6-x'!M34)/41.868</f>
        <v>25.19919747778733</v>
      </c>
      <c r="F15" s="324">
        <f>('6-x'!N34)/41.868</f>
        <v>4.9774801757905802</v>
      </c>
      <c r="G15" s="324">
        <f>('6-x'!O34)/41.868</f>
        <v>1.3239896818572656</v>
      </c>
      <c r="H15" s="279">
        <f>('6-x'!P34)/41.868</f>
        <v>700.23587799751601</v>
      </c>
    </row>
    <row r="16" spans="1:8">
      <c r="A16" s="257" t="s">
        <v>27</v>
      </c>
      <c r="B16" s="324">
        <f>('6-x'!J35)/41.868</f>
        <v>0</v>
      </c>
      <c r="C16" s="324">
        <f>('6-x'!K35)/41.868</f>
        <v>8420.590379287285</v>
      </c>
      <c r="D16" s="324">
        <f>('6-x'!L35)/41.868</f>
        <v>111.10250788191458</v>
      </c>
      <c r="E16" s="324">
        <f>('6-x'!M35)/41.868</f>
        <v>228.22548867870449</v>
      </c>
      <c r="F16" s="324">
        <f>('6-x'!N35)/41.868</f>
        <v>916.95020922900528</v>
      </c>
      <c r="G16" s="324">
        <f>('6-x'!O35)/41.868</f>
        <v>5.6785492500238837</v>
      </c>
      <c r="H16" s="279">
        <f>('6-x'!P35)/41.868</f>
        <v>9682.5471343269328</v>
      </c>
    </row>
    <row r="17" spans="1:8">
      <c r="A17" s="257" t="s">
        <v>28</v>
      </c>
      <c r="B17" s="324">
        <f>('6-x'!J36)/41.868</f>
        <v>0</v>
      </c>
      <c r="C17" s="324">
        <f>('6-x'!K36)/41.868</f>
        <v>43.47473010413681</v>
      </c>
      <c r="D17" s="324">
        <f>('6-x'!L36)/41.868</f>
        <v>0</v>
      </c>
      <c r="E17" s="324">
        <f>('6-x'!M36)/41.868</f>
        <v>17.859907327792108</v>
      </c>
      <c r="F17" s="324">
        <f>('6-x'!N36)/41.868</f>
        <v>102.09140513040985</v>
      </c>
      <c r="G17" s="324">
        <f>('6-x'!O36)/41.868</f>
        <v>0</v>
      </c>
      <c r="H17" s="279">
        <f>('6-x'!P36)/41.868</f>
        <v>163.42604256233875</v>
      </c>
    </row>
    <row r="18" spans="1:8">
      <c r="A18" s="257" t="s">
        <v>29</v>
      </c>
      <c r="B18" s="324">
        <f>('6-x'!J37)/41.868</f>
        <v>0</v>
      </c>
      <c r="C18" s="324">
        <f>('6-x'!K37)/41.868</f>
        <v>210.35814942199292</v>
      </c>
      <c r="D18" s="324">
        <f>('6-x'!L37)/41.868</f>
        <v>96.953120521639434</v>
      </c>
      <c r="E18" s="324">
        <f>('6-x'!M37)/41.868</f>
        <v>28.421545094105284</v>
      </c>
      <c r="F18" s="324">
        <f>('6-x'!N37)/41.868</f>
        <v>1122.0420786758382</v>
      </c>
      <c r="G18" s="324">
        <f>('6-x'!O37)/41.868</f>
        <v>0.34018343364860987</v>
      </c>
      <c r="H18" s="279">
        <f>('6-x'!P37)/41.868</f>
        <v>1458.1150771472244</v>
      </c>
    </row>
    <row r="19" spans="1:8">
      <c r="A19" s="257" t="s">
        <v>391</v>
      </c>
      <c r="B19" s="324">
        <f>('6-x'!J38)/41.868</f>
        <v>0</v>
      </c>
      <c r="C19" s="324">
        <f>('6-x'!K38)/41.868</f>
        <v>1.5250310499665616E-2</v>
      </c>
      <c r="D19" s="324">
        <f>('6-x'!L38)/41.868</f>
        <v>0</v>
      </c>
      <c r="E19" s="324">
        <f>('6-x'!M38)/41.868</f>
        <v>0</v>
      </c>
      <c r="F19" s="324">
        <f>('6-x'!N38)/41.868</f>
        <v>0</v>
      </c>
      <c r="G19" s="324">
        <f>('6-x'!O38)/41.868</f>
        <v>0</v>
      </c>
      <c r="H19" s="279">
        <f>('6-x'!P38)/41.868</f>
        <v>1.5250310499665616E-2</v>
      </c>
    </row>
    <row r="20" spans="1:8">
      <c r="A20" s="368" t="s">
        <v>10</v>
      </c>
      <c r="B20" s="370">
        <f>('6-x'!J39)/41.868</f>
        <v>3100.6835291869684</v>
      </c>
      <c r="C20" s="370">
        <f>('6-x'!K39)/41.868</f>
        <v>17850.160382631126</v>
      </c>
      <c r="D20" s="370">
        <f>('6-x'!L39)/41.868</f>
        <v>237.01006735454285</v>
      </c>
      <c r="E20" s="370">
        <f>('6-x'!M39)/41.868</f>
        <v>690.1875374988058</v>
      </c>
      <c r="F20" s="370">
        <f>('6-x'!N39)/41.868</f>
        <v>3954.1601430686919</v>
      </c>
      <c r="G20" s="370">
        <f>('6-x'!O39)/41.868</f>
        <v>1462.1377376516671</v>
      </c>
      <c r="H20" s="370">
        <f>('6-x'!P39)/41.868</f>
        <v>27294.339397391803</v>
      </c>
    </row>
    <row r="21" spans="1:8" ht="15.6">
      <c r="A21" s="360"/>
      <c r="B21" s="360"/>
      <c r="C21" s="360"/>
      <c r="D21" s="360"/>
      <c r="E21" s="360"/>
      <c r="F21" s="360"/>
      <c r="G21" s="360"/>
      <c r="H21" s="360"/>
    </row>
    <row r="22" spans="1:8" ht="15.6">
      <c r="A22" s="360"/>
      <c r="B22" s="360"/>
      <c r="C22" s="360"/>
      <c r="D22" s="360"/>
      <c r="E22" s="360"/>
      <c r="F22" s="360"/>
      <c r="G22" s="360"/>
      <c r="H22" s="360"/>
    </row>
    <row r="23" spans="1:8">
      <c r="B23" s="895" t="s">
        <v>11</v>
      </c>
      <c r="C23" s="895"/>
      <c r="D23" s="895"/>
      <c r="E23" s="895"/>
      <c r="F23" s="895"/>
      <c r="G23" s="895"/>
      <c r="H23" s="895"/>
    </row>
    <row r="24" spans="1:8" ht="28.8">
      <c r="B24" s="281" t="s">
        <v>5</v>
      </c>
      <c r="C24" s="281" t="s">
        <v>64</v>
      </c>
      <c r="D24" s="281" t="s">
        <v>7</v>
      </c>
      <c r="E24" s="281" t="s">
        <v>8</v>
      </c>
      <c r="F24" s="281" t="s">
        <v>267</v>
      </c>
      <c r="G24" s="281" t="s">
        <v>268</v>
      </c>
      <c r="H24" s="281" t="s">
        <v>10</v>
      </c>
    </row>
    <row r="25" spans="1:8">
      <c r="A25" s="283">
        <v>2022</v>
      </c>
      <c r="B25" s="896" t="s">
        <v>200</v>
      </c>
      <c r="C25" s="897"/>
      <c r="D25" s="897"/>
      <c r="E25" s="897"/>
      <c r="F25" s="897"/>
      <c r="G25" s="897"/>
      <c r="H25" s="898"/>
    </row>
    <row r="26" spans="1:8">
      <c r="A26" s="258" t="s">
        <v>286</v>
      </c>
      <c r="B26" s="279">
        <f>('6-x'!J117)/41.868</f>
        <v>5399.5175312888123</v>
      </c>
      <c r="C26" s="279">
        <f>('6-x'!K117)/41.868</f>
        <v>9245.2684453520578</v>
      </c>
      <c r="D26" s="279">
        <f>('6-x'!L117)/41.868</f>
        <v>3.7652431451227675</v>
      </c>
      <c r="E26" s="279">
        <f>('6-x'!M117)/41.868</f>
        <v>643.22960781503775</v>
      </c>
      <c r="F26" s="279">
        <f>('6-x'!N117)/41.868</f>
        <v>1860.7807514091908</v>
      </c>
      <c r="G26" s="279">
        <f>('6-x'!O117)/41.868</f>
        <v>574.68770636285478</v>
      </c>
      <c r="H26" s="279">
        <f>('6-x'!P117)/41.868</f>
        <v>17727.249285373076</v>
      </c>
    </row>
    <row r="27" spans="1:8">
      <c r="A27" s="257" t="s">
        <v>18</v>
      </c>
      <c r="B27" s="324">
        <f>('6-x'!J118)/41.868</f>
        <v>0</v>
      </c>
      <c r="C27" s="324">
        <f>('6-x'!K118)/41.868</f>
        <v>36.399649374223742</v>
      </c>
      <c r="D27" s="324">
        <f>('6-x'!L118)/41.868</f>
        <v>3.7652431451227675</v>
      </c>
      <c r="E27" s="324">
        <f>('6-x'!M118)/41.868</f>
        <v>44.880492261392952</v>
      </c>
      <c r="F27" s="324">
        <f>('6-x'!N118)/41.868</f>
        <v>204.37778255469567</v>
      </c>
      <c r="G27" s="324">
        <f>('6-x'!O118)/41.868</f>
        <v>562.92159286328467</v>
      </c>
      <c r="H27" s="279">
        <f>('6-x'!P118)/41.868</f>
        <v>852.34476019871965</v>
      </c>
    </row>
    <row r="28" spans="1:8">
      <c r="A28" s="257" t="s">
        <v>19</v>
      </c>
      <c r="B28" s="324">
        <f>('6-x'!J119)/41.868</f>
        <v>0</v>
      </c>
      <c r="C28" s="324">
        <f>('6-x'!K119)/41.868</f>
        <v>46.491849383777584</v>
      </c>
      <c r="D28" s="324">
        <f>('6-x'!L119)/41.868</f>
        <v>0</v>
      </c>
      <c r="E28" s="324">
        <f>('6-x'!M119)/41.868</f>
        <v>2.815390513040986</v>
      </c>
      <c r="F28" s="324">
        <f>('6-x'!N119)/41.868</f>
        <v>3.4325690264641251</v>
      </c>
      <c r="G28" s="324">
        <f>('6-x'!O119)/41.868</f>
        <v>8.8865434221840065</v>
      </c>
      <c r="H28" s="279">
        <f>('6-x'!P119)/41.868</f>
        <v>61.626352345466707</v>
      </c>
    </row>
    <row r="29" spans="1:8">
      <c r="A29" s="257" t="s">
        <v>20</v>
      </c>
      <c r="B29" s="324">
        <f>('6-x'!J120)/41.868</f>
        <v>5399.5175312888123</v>
      </c>
      <c r="C29" s="324">
        <f>('6-x'!K120)/41.868</f>
        <v>470.85674023120276</v>
      </c>
      <c r="D29" s="324">
        <f>('6-x'!L120)/41.868</f>
        <v>0</v>
      </c>
      <c r="E29" s="324">
        <f>('6-x'!M120)/41.868</f>
        <v>594.17546192796408</v>
      </c>
      <c r="F29" s="324">
        <f>('6-x'!N120)/41.868</f>
        <v>1349.5991329893952</v>
      </c>
      <c r="G29" s="324">
        <f>('6-x'!O120)/41.868</f>
        <v>1.821725422757237</v>
      </c>
      <c r="H29" s="279">
        <f>('6-x'!P120)/41.868</f>
        <v>7815.9705918601321</v>
      </c>
    </row>
    <row r="30" spans="1:8">
      <c r="A30" s="257" t="s">
        <v>21</v>
      </c>
      <c r="B30" s="324">
        <f>('6-x'!J121)/41.868</f>
        <v>0</v>
      </c>
      <c r="C30" s="324">
        <f>('6-x'!K121)/41.868</f>
        <v>8691.5202063628531</v>
      </c>
      <c r="D30" s="324">
        <f>('6-x'!L121)/41.868</f>
        <v>0</v>
      </c>
      <c r="E30" s="324">
        <f>('6-x'!M121)/41.868</f>
        <v>1.3582631126397247</v>
      </c>
      <c r="F30" s="324">
        <f>('6-x'!N121)/41.868</f>
        <v>303.37126683863568</v>
      </c>
      <c r="G30" s="324">
        <f>('6-x'!O121)/41.868</f>
        <v>1.0578446546288336</v>
      </c>
      <c r="H30" s="279">
        <f>('6-x'!P121)/41.868</f>
        <v>8997.307580968758</v>
      </c>
    </row>
    <row r="31" spans="1:8">
      <c r="A31" s="257" t="s">
        <v>23</v>
      </c>
      <c r="B31" s="324">
        <f>('6-x'!J122)/41.868</f>
        <v>0</v>
      </c>
      <c r="C31" s="324">
        <f>('6-x'!K122)/41.868</f>
        <v>0</v>
      </c>
      <c r="D31" s="324">
        <f>('6-x'!L122)/41.868</f>
        <v>0</v>
      </c>
      <c r="E31" s="324">
        <f>('6-x'!M122)/41.868</f>
        <v>0</v>
      </c>
      <c r="F31" s="324">
        <f>('6-x'!N122)/41.868</f>
        <v>0</v>
      </c>
      <c r="G31" s="324">
        <f>('6-x'!O122)/41.868</f>
        <v>0</v>
      </c>
      <c r="H31" s="279">
        <f>('6-x'!P122)/41.868</f>
        <v>0</v>
      </c>
    </row>
    <row r="32" spans="1:8">
      <c r="A32" s="257" t="s">
        <v>388</v>
      </c>
      <c r="B32" s="324">
        <f>('6-x'!J123)/41.868</f>
        <v>0</v>
      </c>
      <c r="C32" s="324">
        <f>('6-x'!K123)/41.868</f>
        <v>0</v>
      </c>
      <c r="D32" s="324">
        <f>('6-x'!L123)/41.868</f>
        <v>0</v>
      </c>
      <c r="E32" s="324">
        <f>('6-x'!M123)/41.868</f>
        <v>0</v>
      </c>
      <c r="F32" s="324">
        <f>('6-x'!N123)/41.868</f>
        <v>0</v>
      </c>
      <c r="G32" s="324">
        <f>('6-x'!O123)/41.868</f>
        <v>0</v>
      </c>
      <c r="H32" s="279">
        <f>('6-x'!P123)/41.868</f>
        <v>0</v>
      </c>
    </row>
    <row r="33" spans="1:8">
      <c r="A33" s="258" t="s">
        <v>287</v>
      </c>
      <c r="B33" s="279">
        <f>('6-x'!J124)/41.868</f>
        <v>0</v>
      </c>
      <c r="C33" s="279">
        <f>('6-x'!K124)/41.868</f>
        <v>11946.922755326263</v>
      </c>
      <c r="D33" s="279">
        <f>('6-x'!L124)/41.868</f>
        <v>343.72151284990923</v>
      </c>
      <c r="E33" s="279">
        <f>('6-x'!M124)/41.868</f>
        <v>323.05462166809974</v>
      </c>
      <c r="F33" s="279">
        <f>('6-x'!N124)/41.868</f>
        <v>2527.5494530428964</v>
      </c>
      <c r="G33" s="279">
        <f>('6-x'!O124)/41.868</f>
        <v>967.13376564440614</v>
      </c>
      <c r="H33" s="279">
        <f>('6-x'!P124)/41.868</f>
        <v>16108.382108531574</v>
      </c>
    </row>
    <row r="34" spans="1:8">
      <c r="A34" s="257" t="s">
        <v>25</v>
      </c>
      <c r="B34" s="324">
        <f>('6-x'!J125)/41.868</f>
        <v>0</v>
      </c>
      <c r="C34" s="324">
        <f>('6-x'!K125)/41.868</f>
        <v>1632.6405393140346</v>
      </c>
      <c r="D34" s="324">
        <f>('6-x'!L125)/41.868</f>
        <v>27.937276679086651</v>
      </c>
      <c r="E34" s="324">
        <f>('6-x'!M125)/41.868</f>
        <v>1.4471648992070314</v>
      </c>
      <c r="F34" s="324">
        <f>('6-x'!N125)/41.868</f>
        <v>177.32768462787809</v>
      </c>
      <c r="G34" s="324">
        <f>('6-x'!O125)/41.868</f>
        <v>960.12841788478079</v>
      </c>
      <c r="H34" s="279">
        <f>('6-x'!P125)/41.868</f>
        <v>2799.4810834049872</v>
      </c>
    </row>
    <row r="35" spans="1:8">
      <c r="A35" s="257" t="s">
        <v>26</v>
      </c>
      <c r="B35" s="324">
        <f>('6-x'!J126)/41.868</f>
        <v>0</v>
      </c>
      <c r="C35" s="324">
        <f>('6-x'!K126)/41.868</f>
        <v>778.86543422183991</v>
      </c>
      <c r="D35" s="324">
        <f>('6-x'!L126)/41.868</f>
        <v>0</v>
      </c>
      <c r="E35" s="324">
        <f>('6-x'!M126)/41.868</f>
        <v>60.073144167383198</v>
      </c>
      <c r="F35" s="324">
        <f>('6-x'!N126)/41.868</f>
        <v>4.6005063533008501</v>
      </c>
      <c r="G35" s="324">
        <f>('6-x'!O126)/41.868</f>
        <v>0.43256186108722644</v>
      </c>
      <c r="H35" s="279">
        <f>('6-x'!P126)/41.868</f>
        <v>843.97164660361136</v>
      </c>
    </row>
    <row r="36" spans="1:8">
      <c r="A36" s="257" t="s">
        <v>27</v>
      </c>
      <c r="B36" s="324">
        <f>('6-x'!J127)/41.868</f>
        <v>0</v>
      </c>
      <c r="C36" s="324">
        <f>('6-x'!K127)/41.868</f>
        <v>9279.5344511321291</v>
      </c>
      <c r="D36" s="324">
        <f>('6-x'!L127)/41.868</f>
        <v>139.7542132416165</v>
      </c>
      <c r="E36" s="324">
        <f>('6-x'!M127)/41.868</f>
        <v>213.55215438998755</v>
      </c>
      <c r="F36" s="324">
        <f>('6-x'!N127)/41.868</f>
        <v>1064.3821008885068</v>
      </c>
      <c r="G36" s="324">
        <f>('6-x'!O127)/41.868</f>
        <v>6.0067067927772992</v>
      </c>
      <c r="H36" s="279">
        <f>('6-x'!P127)/41.868</f>
        <v>10703.229626445016</v>
      </c>
    </row>
    <row r="37" spans="1:8">
      <c r="A37" s="257" t="s">
        <v>28</v>
      </c>
      <c r="B37" s="324">
        <f>('6-x'!J128)/41.868</f>
        <v>0</v>
      </c>
      <c r="C37" s="324">
        <f>('6-x'!K128)/41.868</f>
        <v>50.564616413490008</v>
      </c>
      <c r="D37" s="324">
        <f>('6-x'!L128)/41.868</f>
        <v>0</v>
      </c>
      <c r="E37" s="324">
        <f>('6-x'!M128)/41.868</f>
        <v>21.370378331900255</v>
      </c>
      <c r="F37" s="324">
        <f>('6-x'!N128)/41.868</f>
        <v>89.911029903506247</v>
      </c>
      <c r="G37" s="324">
        <f>('6-x'!O128)/41.868</f>
        <v>0</v>
      </c>
      <c r="H37" s="279">
        <f>('6-x'!P128)/41.868</f>
        <v>161.84602464889653</v>
      </c>
    </row>
    <row r="38" spans="1:8">
      <c r="A38" s="257" t="s">
        <v>29</v>
      </c>
      <c r="B38" s="324">
        <f>('6-x'!J129)/41.868</f>
        <v>0</v>
      </c>
      <c r="C38" s="324">
        <f>('6-x'!K129)/41.868</f>
        <v>205.31771424476926</v>
      </c>
      <c r="D38" s="324">
        <f>('6-x'!L129)/41.868</f>
        <v>176.03002292920607</v>
      </c>
      <c r="E38" s="324">
        <f>('6-x'!M129)/41.868</f>
        <v>26.611779879621668</v>
      </c>
      <c r="F38" s="324">
        <f>('6-x'!N129)/41.868</f>
        <v>1191.3281312697047</v>
      </c>
      <c r="G38" s="324">
        <f>('6-x'!O129)/41.868</f>
        <v>0.56607910576096299</v>
      </c>
      <c r="H38" s="279">
        <f>('6-x'!P129)/41.868</f>
        <v>1599.8537274290627</v>
      </c>
    </row>
    <row r="39" spans="1:8">
      <c r="A39" s="257" t="s">
        <v>391</v>
      </c>
      <c r="B39" s="324">
        <f>('6-x'!J130)/41.868</f>
        <v>0</v>
      </c>
      <c r="C39" s="324">
        <f>('6-x'!K130)/41.868</f>
        <v>3.4288716919843316E-2</v>
      </c>
      <c r="D39" s="324">
        <f>('6-x'!L130)/41.868</f>
        <v>0</v>
      </c>
      <c r="E39" s="324">
        <f>('6-x'!M130)/41.868</f>
        <v>0</v>
      </c>
      <c r="F39" s="324">
        <f>('6-x'!N130)/41.868</f>
        <v>0</v>
      </c>
      <c r="G39" s="324">
        <f>('6-x'!O130)/41.868</f>
        <v>0</v>
      </c>
      <c r="H39" s="279">
        <f>('6-x'!P130)/41.868</f>
        <v>3.4288716919843316E-2</v>
      </c>
    </row>
    <row r="40" spans="1:8">
      <c r="A40" s="368" t="s">
        <v>10</v>
      </c>
      <c r="B40" s="370">
        <f>('6-x'!J131)/41.868</f>
        <v>5399.5175312888123</v>
      </c>
      <c r="C40" s="370">
        <f>('6-x'!K131)/41.868</f>
        <v>21192.19120067832</v>
      </c>
      <c r="D40" s="370">
        <f>('6-x'!L131)/41.868</f>
        <v>347.48675599503201</v>
      </c>
      <c r="E40" s="370">
        <f>('6-x'!M131)/41.868</f>
        <v>966.28422948313755</v>
      </c>
      <c r="F40" s="370">
        <f>('6-x'!N131)/41.868</f>
        <v>4388.3302044520869</v>
      </c>
      <c r="G40" s="370">
        <f>('6-x'!O131)/41.868</f>
        <v>1541.8214720072608</v>
      </c>
      <c r="H40" s="370">
        <f>('6-x'!P131)/41.868</f>
        <v>33835.631393904652</v>
      </c>
    </row>
    <row r="41" spans="1:8" ht="15.6">
      <c r="A41" s="360"/>
      <c r="B41" s="360"/>
      <c r="C41" s="360"/>
      <c r="D41" s="360"/>
      <c r="E41" s="360"/>
      <c r="F41" s="360"/>
      <c r="G41" s="360"/>
      <c r="H41" s="360"/>
    </row>
    <row r="42" spans="1:8" ht="15.6">
      <c r="A42" s="360"/>
      <c r="B42" s="360"/>
      <c r="C42" s="360"/>
      <c r="D42" s="360"/>
      <c r="E42" s="360"/>
      <c r="F42" s="360"/>
      <c r="G42" s="360"/>
      <c r="H42" s="360"/>
    </row>
    <row r="43" spans="1:8">
      <c r="B43" s="895" t="s">
        <v>11</v>
      </c>
      <c r="C43" s="895"/>
      <c r="D43" s="895"/>
      <c r="E43" s="895"/>
      <c r="F43" s="895"/>
      <c r="G43" s="895"/>
      <c r="H43" s="895"/>
    </row>
    <row r="44" spans="1:8" ht="28.8">
      <c r="B44" s="281" t="s">
        <v>5</v>
      </c>
      <c r="C44" s="281" t="s">
        <v>64</v>
      </c>
      <c r="D44" s="281" t="s">
        <v>7</v>
      </c>
      <c r="E44" s="281" t="s">
        <v>8</v>
      </c>
      <c r="F44" s="281" t="s">
        <v>267</v>
      </c>
      <c r="G44" s="281" t="s">
        <v>268</v>
      </c>
      <c r="H44" s="281" t="s">
        <v>10</v>
      </c>
    </row>
    <row r="45" spans="1:8">
      <c r="A45" s="283">
        <v>2021</v>
      </c>
      <c r="B45" s="896" t="s">
        <v>200</v>
      </c>
      <c r="C45" s="897"/>
      <c r="D45" s="897"/>
      <c r="E45" s="897"/>
      <c r="F45" s="897"/>
      <c r="G45" s="897"/>
      <c r="H45" s="898"/>
    </row>
    <row r="46" spans="1:8">
      <c r="A46" s="258" t="s">
        <v>286</v>
      </c>
      <c r="B46" s="279">
        <f>('6-x'!J209)/41.868</f>
        <v>3363.4742930161456</v>
      </c>
      <c r="C46" s="279">
        <f>('6-x'!K209)/41.868</f>
        <v>9902.0656625585161</v>
      </c>
      <c r="D46" s="279">
        <f>('6-x'!L209)/41.868</f>
        <v>5.4548366294067065</v>
      </c>
      <c r="E46" s="279">
        <f>('6-x'!M209)/41.868</f>
        <v>493.32909238559273</v>
      </c>
      <c r="F46" s="279">
        <f>('6-x'!N209)/41.868</f>
        <v>2062.7193030476733</v>
      </c>
      <c r="G46" s="279">
        <f>('6-x'!O209)/41.868</f>
        <v>596.71205455240272</v>
      </c>
      <c r="H46" s="279">
        <f>('6-x'!P209)/41.868</f>
        <v>16423.755242189738</v>
      </c>
    </row>
    <row r="47" spans="1:8">
      <c r="A47" s="257" t="s">
        <v>18</v>
      </c>
      <c r="B47" s="324">
        <f>('6-x'!J210)/41.868</f>
        <v>0</v>
      </c>
      <c r="C47" s="324">
        <f>('6-x'!K210)/41.868</f>
        <v>45.368744625967324</v>
      </c>
      <c r="D47" s="324">
        <f>('6-x'!L210)/41.868</f>
        <v>5.4548366294067065</v>
      </c>
      <c r="E47" s="324">
        <f>('6-x'!M210)/41.868</f>
        <v>46.540061622241325</v>
      </c>
      <c r="F47" s="324">
        <f>('6-x'!N210)/41.868</f>
        <v>246.38908760867483</v>
      </c>
      <c r="G47" s="324">
        <f>('6-x'!O210)/41.868</f>
        <v>590.59631221935604</v>
      </c>
      <c r="H47" s="279">
        <f>('6-x'!P210)/41.868</f>
        <v>934.3490427056463</v>
      </c>
    </row>
    <row r="48" spans="1:8">
      <c r="A48" s="257" t="s">
        <v>19</v>
      </c>
      <c r="B48" s="324">
        <f>('6-x'!J211)/41.868</f>
        <v>0</v>
      </c>
      <c r="C48" s="324">
        <f>('6-x'!K211)/41.868</f>
        <v>149.91656635139009</v>
      </c>
      <c r="D48" s="324">
        <f>('6-x'!L211)/41.868</f>
        <v>0</v>
      </c>
      <c r="E48" s="324">
        <f>('6-x'!M211)/41.868</f>
        <v>3.065501098691124</v>
      </c>
      <c r="F48" s="324">
        <f>('6-x'!N211)/41.868</f>
        <v>3.134414827553262</v>
      </c>
      <c r="G48" s="324">
        <f>('6-x'!O211)/41.868</f>
        <v>3.1822800229292056</v>
      </c>
      <c r="H48" s="279">
        <f>('6-x'!P211)/41.868</f>
        <v>159.29876230056368</v>
      </c>
    </row>
    <row r="49" spans="1:8">
      <c r="A49" s="257" t="s">
        <v>20</v>
      </c>
      <c r="B49" s="324">
        <f>('6-x'!J212)/41.868</f>
        <v>3363.4742930161456</v>
      </c>
      <c r="C49" s="324">
        <f>('6-x'!K212)/41.868</f>
        <v>115.04643164230436</v>
      </c>
      <c r="D49" s="324">
        <f>('6-x'!L212)/41.868</f>
        <v>0</v>
      </c>
      <c r="E49" s="324">
        <f>('6-x'!M212)/41.868</f>
        <v>442.23384780739462</v>
      </c>
      <c r="F49" s="324">
        <f>('6-x'!N212)/41.868</f>
        <v>1448.3659539505111</v>
      </c>
      <c r="G49" s="324">
        <f>('6-x'!O212)/41.868</f>
        <v>1.8369160217827456</v>
      </c>
      <c r="H49" s="279">
        <f>('6-x'!P212)/41.868</f>
        <v>5370.9574424381381</v>
      </c>
    </row>
    <row r="50" spans="1:8">
      <c r="A50" s="257" t="s">
        <v>21</v>
      </c>
      <c r="B50" s="324">
        <f>('6-x'!J213)/41.868</f>
        <v>0</v>
      </c>
      <c r="C50" s="324">
        <f>('6-x'!K213)/41.868</f>
        <v>9591.7339199388553</v>
      </c>
      <c r="D50" s="324">
        <f>('6-x'!L213)/41.868</f>
        <v>0</v>
      </c>
      <c r="E50" s="324">
        <f>('6-x'!M213)/41.868</f>
        <v>1.489681857265692</v>
      </c>
      <c r="F50" s="324">
        <f>('6-x'!N213)/41.868</f>
        <v>364.82984666093432</v>
      </c>
      <c r="G50" s="324">
        <f>('6-x'!O213)/41.868</f>
        <v>1.0965462883347665</v>
      </c>
      <c r="H50" s="279">
        <f>('6-x'!P213)/41.868</f>
        <v>9959.1499947453885</v>
      </c>
    </row>
    <row r="51" spans="1:8">
      <c r="A51" s="257" t="s">
        <v>23</v>
      </c>
      <c r="B51" s="324">
        <f>('6-x'!J214)/41.868</f>
        <v>0</v>
      </c>
      <c r="C51" s="324">
        <f>('6-x'!K214)/41.868</f>
        <v>0</v>
      </c>
      <c r="D51" s="324">
        <f>('6-x'!L214)/41.868</f>
        <v>0</v>
      </c>
      <c r="E51" s="324">
        <f>('6-x'!M214)/41.868</f>
        <v>0</v>
      </c>
      <c r="F51" s="324">
        <f>('6-x'!N214)/41.868</f>
        <v>0</v>
      </c>
      <c r="G51" s="324">
        <f>('6-x'!O214)/41.868</f>
        <v>0</v>
      </c>
      <c r="H51" s="279">
        <f>('6-x'!P214)/41.868</f>
        <v>0</v>
      </c>
    </row>
    <row r="52" spans="1:8">
      <c r="A52" s="257" t="s">
        <v>388</v>
      </c>
      <c r="B52" s="324">
        <f>('6-x'!J215)/41.868</f>
        <v>0</v>
      </c>
      <c r="C52" s="324">
        <f>('6-x'!K215)/41.868</f>
        <v>0</v>
      </c>
      <c r="D52" s="324">
        <f>('6-x'!L215)/41.868</f>
        <v>0</v>
      </c>
      <c r="E52" s="324">
        <f>('6-x'!M215)/41.868</f>
        <v>0</v>
      </c>
      <c r="F52" s="324">
        <f>('6-x'!N215)/41.868</f>
        <v>0</v>
      </c>
      <c r="G52" s="324">
        <f>('6-x'!O215)/41.868</f>
        <v>0</v>
      </c>
      <c r="H52" s="279">
        <f>('6-x'!P215)/41.868</f>
        <v>0</v>
      </c>
    </row>
    <row r="53" spans="1:8">
      <c r="A53" s="258" t="s">
        <v>287</v>
      </c>
      <c r="B53" s="279">
        <f>('6-x'!J216)/41.868</f>
        <v>0</v>
      </c>
      <c r="C53" s="279">
        <f>('6-x'!K216)/41.868</f>
        <v>12003.71680854113</v>
      </c>
      <c r="D53" s="279">
        <f>('6-x'!L216)/41.868</f>
        <v>436.26837823636191</v>
      </c>
      <c r="E53" s="279">
        <f>('6-x'!M216)/41.868</f>
        <v>278.60676674309735</v>
      </c>
      <c r="F53" s="279">
        <f>('6-x'!N216)/41.868</f>
        <v>1951.6928441769369</v>
      </c>
      <c r="G53" s="279">
        <f>('6-x'!O216)/41.868</f>
        <v>998.64717922996056</v>
      </c>
      <c r="H53" s="279">
        <f>('6-x'!P216)/41.868</f>
        <v>15668.931976927488</v>
      </c>
    </row>
    <row r="54" spans="1:8">
      <c r="A54" s="257" t="s">
        <v>25</v>
      </c>
      <c r="B54" s="324">
        <f>('6-x'!J217)/41.868</f>
        <v>0</v>
      </c>
      <c r="C54" s="324">
        <f>('6-x'!K217)/41.868</f>
        <v>1689.9161471768414</v>
      </c>
      <c r="D54" s="324">
        <f>('6-x'!L217)/41.868</f>
        <v>26.278109773574091</v>
      </c>
      <c r="E54" s="324">
        <f>('6-x'!M217)/41.868</f>
        <v>2.3210518773287476</v>
      </c>
      <c r="F54" s="324">
        <f>('6-x'!N217)/41.868</f>
        <v>258.58478790484378</v>
      </c>
      <c r="G54" s="324">
        <f>('6-x'!O217)/41.868</f>
        <v>991.77284799847132</v>
      </c>
      <c r="H54" s="279">
        <f>('6-x'!P217)/41.868</f>
        <v>2968.8729447310593</v>
      </c>
    </row>
    <row r="55" spans="1:8">
      <c r="A55" s="257" t="s">
        <v>26</v>
      </c>
      <c r="B55" s="324">
        <f>('6-x'!J218)/41.868</f>
        <v>0</v>
      </c>
      <c r="C55" s="324">
        <f>('6-x'!K218)/41.868</f>
        <v>1014.715826884494</v>
      </c>
      <c r="D55" s="324">
        <f>('6-x'!L218)/41.868</f>
        <v>0</v>
      </c>
      <c r="E55" s="324">
        <f>('6-x'!M218)/41.868</f>
        <v>31.666979793637143</v>
      </c>
      <c r="F55" s="324">
        <f>('6-x'!N218)/41.868</f>
        <v>4.580729913060094</v>
      </c>
      <c r="G55" s="324">
        <f>('6-x'!O218)/41.868</f>
        <v>0.66220741377663128</v>
      </c>
      <c r="H55" s="279">
        <f>('6-x'!P218)/41.868</f>
        <v>1051.6257440049678</v>
      </c>
    </row>
    <row r="56" spans="1:8">
      <c r="A56" s="257" t="s">
        <v>27</v>
      </c>
      <c r="B56" s="324">
        <f>('6-x'!J219)/41.868</f>
        <v>0</v>
      </c>
      <c r="C56" s="324">
        <f>('6-x'!K219)/41.868</f>
        <v>9048.4248471386254</v>
      </c>
      <c r="D56" s="324">
        <f>('6-x'!L219)/41.868</f>
        <v>198.20926531002195</v>
      </c>
      <c r="E56" s="324">
        <f>('6-x'!M219)/41.868</f>
        <v>198.08201251552495</v>
      </c>
      <c r="F56" s="324">
        <f>('6-x'!N219)/41.868</f>
        <v>475.17893426960921</v>
      </c>
      <c r="G56" s="324">
        <f>('6-x'!O219)/41.868</f>
        <v>5.994325021496131</v>
      </c>
      <c r="H56" s="279">
        <f>('6-x'!P219)/41.868</f>
        <v>9925.889384255277</v>
      </c>
    </row>
    <row r="57" spans="1:8">
      <c r="A57" s="257" t="s">
        <v>28</v>
      </c>
      <c r="B57" s="324">
        <f>('6-x'!J220)/41.868</f>
        <v>0</v>
      </c>
      <c r="C57" s="324">
        <f>('6-x'!K220)/41.868</f>
        <v>66.829395958727417</v>
      </c>
      <c r="D57" s="324">
        <f>('6-x'!L220)/41.868</f>
        <v>0</v>
      </c>
      <c r="E57" s="324">
        <f>('6-x'!M220)/41.868</f>
        <v>19.990434221840069</v>
      </c>
      <c r="F57" s="324">
        <f>('6-x'!N220)/41.868</f>
        <v>86.055460017196907</v>
      </c>
      <c r="G57" s="324">
        <f>('6-x'!O220)/41.868</f>
        <v>0</v>
      </c>
      <c r="H57" s="279">
        <f>('6-x'!P220)/41.868</f>
        <v>172.8752901977644</v>
      </c>
    </row>
    <row r="58" spans="1:8">
      <c r="A58" s="257" t="s">
        <v>29</v>
      </c>
      <c r="B58" s="324">
        <f>('6-x'!J221)/41.868</f>
        <v>0</v>
      </c>
      <c r="C58" s="324">
        <f>('6-x'!K221)/41.868</f>
        <v>183.83059138244002</v>
      </c>
      <c r="D58" s="324">
        <f>('6-x'!L221)/41.868</f>
        <v>211.78100315276583</v>
      </c>
      <c r="E58" s="324">
        <f>('6-x'!M221)/41.868</f>
        <v>26.546288334766409</v>
      </c>
      <c r="F58" s="324">
        <f>('6-x'!N221)/41.868</f>
        <v>1127.2929320722269</v>
      </c>
      <c r="G58" s="324">
        <f>('6-x'!O221)/41.868</f>
        <v>0.217798796216681</v>
      </c>
      <c r="H58" s="279">
        <f>('6-x'!P221)/41.868</f>
        <v>1549.6686137384158</v>
      </c>
    </row>
    <row r="59" spans="1:8">
      <c r="A59" s="257" t="s">
        <v>391</v>
      </c>
      <c r="B59" s="324">
        <f>('6-x'!J222)/41.868</f>
        <v>0</v>
      </c>
      <c r="C59" s="324">
        <f>('6-x'!K222)/41.868</f>
        <v>5.2543708799082829E-2</v>
      </c>
      <c r="D59" s="324">
        <f>('6-x'!L222)/41.868</f>
        <v>0</v>
      </c>
      <c r="E59" s="324">
        <f>('6-x'!M222)/41.868</f>
        <v>0</v>
      </c>
      <c r="F59" s="324">
        <f>('6-x'!N222)/41.868</f>
        <v>0</v>
      </c>
      <c r="G59" s="324">
        <f>('6-x'!O222)/41.868</f>
        <v>0</v>
      </c>
      <c r="H59" s="279">
        <f>('6-x'!P222)/41.868</f>
        <v>5.2543708799082829E-2</v>
      </c>
    </row>
    <row r="60" spans="1:8">
      <c r="A60" s="368" t="s">
        <v>10</v>
      </c>
      <c r="B60" s="370">
        <f>('6-x'!J223)/41.868</f>
        <v>3363.4742930161456</v>
      </c>
      <c r="C60" s="370">
        <f>('6-x'!K223)/41.868</f>
        <v>21905.78247109965</v>
      </c>
      <c r="D60" s="370">
        <f>('6-x'!L223)/41.868</f>
        <v>441.72321486576857</v>
      </c>
      <c r="E60" s="370">
        <f>('6-x'!M223)/41.868</f>
        <v>771.93585912869014</v>
      </c>
      <c r="F60" s="370">
        <f>('6-x'!N223)/41.868</f>
        <v>4014.4121472246106</v>
      </c>
      <c r="G60" s="370">
        <f>('6-x'!O223)/41.868</f>
        <v>1595.3592337823634</v>
      </c>
      <c r="H60" s="370">
        <f>('6-x'!P223)/41.868</f>
        <v>32092.687219117226</v>
      </c>
    </row>
    <row r="61" spans="1:8" ht="15.6">
      <c r="A61" s="360"/>
      <c r="B61" s="360"/>
      <c r="C61" s="360"/>
      <c r="D61" s="360"/>
      <c r="E61" s="360"/>
      <c r="F61" s="360"/>
      <c r="G61" s="360"/>
      <c r="H61" s="360"/>
    </row>
    <row r="62" spans="1:8" ht="15.6">
      <c r="A62" s="360"/>
      <c r="B62" s="360"/>
      <c r="C62" s="360"/>
      <c r="D62" s="360"/>
      <c r="E62" s="360"/>
      <c r="F62" s="360"/>
      <c r="G62" s="360"/>
      <c r="H62" s="360"/>
    </row>
    <row r="63" spans="1:8">
      <c r="B63" s="895" t="s">
        <v>11</v>
      </c>
      <c r="C63" s="895"/>
      <c r="D63" s="895"/>
      <c r="E63" s="895"/>
      <c r="F63" s="895"/>
      <c r="G63" s="895"/>
      <c r="H63" s="895"/>
    </row>
    <row r="64" spans="1:8" ht="28.8">
      <c r="B64" s="281" t="s">
        <v>5</v>
      </c>
      <c r="C64" s="281" t="s">
        <v>64</v>
      </c>
      <c r="D64" s="281" t="s">
        <v>7</v>
      </c>
      <c r="E64" s="281" t="s">
        <v>8</v>
      </c>
      <c r="F64" s="281" t="s">
        <v>267</v>
      </c>
      <c r="G64" s="281" t="s">
        <v>268</v>
      </c>
      <c r="H64" s="281" t="s">
        <v>10</v>
      </c>
    </row>
    <row r="65" spans="1:8">
      <c r="A65" s="283">
        <v>2020</v>
      </c>
      <c r="B65" s="896" t="s">
        <v>200</v>
      </c>
      <c r="C65" s="897"/>
      <c r="D65" s="897"/>
      <c r="E65" s="897"/>
      <c r="F65" s="897"/>
      <c r="G65" s="897"/>
      <c r="H65" s="898"/>
    </row>
    <row r="66" spans="1:8">
      <c r="A66" s="258" t="s">
        <v>286</v>
      </c>
      <c r="B66" s="279">
        <f>'6-x'!J301/41.868</f>
        <v>3143.7472007260917</v>
      </c>
      <c r="C66" s="279">
        <f>'6-x'!K301/41.868</f>
        <v>9100.6002751504711</v>
      </c>
      <c r="D66" s="279">
        <f>'6-x'!L301/41.868</f>
        <v>6.2992882392280505</v>
      </c>
      <c r="E66" s="279">
        <f>'6-x'!M301/41.868</f>
        <v>270.21797076526224</v>
      </c>
      <c r="F66" s="279">
        <f>'6-x'!N301/41.868</f>
        <v>1951.1825298557374</v>
      </c>
      <c r="G66" s="279">
        <f>'6-x'!O301/41.868</f>
        <v>654.02050826406798</v>
      </c>
      <c r="H66" s="279">
        <f>'6-x'!P301/41.868</f>
        <v>15126.067773000857</v>
      </c>
    </row>
    <row r="67" spans="1:8">
      <c r="A67" s="257" t="s">
        <v>18</v>
      </c>
      <c r="B67" s="324">
        <f>'6-x'!J302/41.868</f>
        <v>0</v>
      </c>
      <c r="C67" s="324">
        <f>'6-x'!K302/41.868</f>
        <v>56.437769179325493</v>
      </c>
      <c r="D67" s="324">
        <f>'6-x'!L302/41.868</f>
        <v>6.2992882392280505</v>
      </c>
      <c r="E67" s="324">
        <f>'6-x'!M302/41.868</f>
        <v>41.296455526894043</v>
      </c>
      <c r="F67" s="324">
        <f>'6-x'!N302/41.868</f>
        <v>290.80426244387121</v>
      </c>
      <c r="G67" s="324">
        <f>'6-x'!O302/41.868</f>
        <v>649.70795691220019</v>
      </c>
      <c r="H67" s="279">
        <f>'6-x'!P302/41.868</f>
        <v>1044.5457323015191</v>
      </c>
    </row>
    <row r="68" spans="1:8">
      <c r="A68" s="257" t="s">
        <v>19</v>
      </c>
      <c r="B68" s="324">
        <f>'6-x'!J303/41.868</f>
        <v>0</v>
      </c>
      <c r="C68" s="324">
        <f>'6-x'!K303/41.868</f>
        <v>219.40913824400494</v>
      </c>
      <c r="D68" s="324">
        <f>'6-x'!L303/41.868</f>
        <v>0</v>
      </c>
      <c r="E68" s="324">
        <f>'6-x'!M303/41.868</f>
        <v>2.5081780835005252</v>
      </c>
      <c r="F68" s="324">
        <f>'6-x'!N303/41.868</f>
        <v>3.3895289958918506</v>
      </c>
      <c r="G68" s="324">
        <f>'6-x'!O303/41.868</f>
        <v>0.13441052832712333</v>
      </c>
      <c r="H68" s="279">
        <f>'6-x'!P303/41.868</f>
        <v>225.44125585172443</v>
      </c>
    </row>
    <row r="69" spans="1:8">
      <c r="A69" s="257" t="s">
        <v>20</v>
      </c>
      <c r="B69" s="324">
        <f>'6-x'!J304/41.868</f>
        <v>3143.7472007260917</v>
      </c>
      <c r="C69" s="324">
        <f>'6-x'!K304/41.868</f>
        <v>102.93171395815419</v>
      </c>
      <c r="D69" s="324">
        <f>'6-x'!L304/41.868</f>
        <v>0</v>
      </c>
      <c r="E69" s="324">
        <f>'6-x'!M304/41.868</f>
        <v>225.16308397821726</v>
      </c>
      <c r="F69" s="324">
        <f>'6-x'!N304/41.868</f>
        <v>1352.7053358173307</v>
      </c>
      <c r="G69" s="324">
        <f>'6-x'!O304/41.868</f>
        <v>1.8361039457342123</v>
      </c>
      <c r="H69" s="279">
        <f>'6-x'!P304/41.868</f>
        <v>4826.3834384255288</v>
      </c>
    </row>
    <row r="70" spans="1:8">
      <c r="A70" s="257" t="s">
        <v>21</v>
      </c>
      <c r="B70" s="324">
        <f>'6-x'!J305/41.868</f>
        <v>0</v>
      </c>
      <c r="C70" s="324">
        <f>'6-x'!K305/41.868</f>
        <v>8721.8216537689877</v>
      </c>
      <c r="D70" s="324">
        <f>'6-x'!L305/41.868</f>
        <v>0</v>
      </c>
      <c r="E70" s="324">
        <f>'6-x'!M305/41.868</f>
        <v>1.2502531766504252</v>
      </c>
      <c r="F70" s="324">
        <f>'6-x'!N305/41.868</f>
        <v>304.28340259864336</v>
      </c>
      <c r="G70" s="324">
        <f>'6-x'!O305/41.868</f>
        <v>2.3420368778064393</v>
      </c>
      <c r="H70" s="279">
        <f>'6-x'!P305/41.868</f>
        <v>9029.6973464220882</v>
      </c>
    </row>
    <row r="71" spans="1:8">
      <c r="A71" s="257" t="s">
        <v>23</v>
      </c>
      <c r="B71" s="324">
        <f>'6-x'!J306/41.868</f>
        <v>0</v>
      </c>
      <c r="C71" s="324">
        <f>'6-x'!K306/41.868</f>
        <v>0</v>
      </c>
      <c r="D71" s="324">
        <f>'6-x'!L306/41.868</f>
        <v>0</v>
      </c>
      <c r="E71" s="324">
        <f>'6-x'!M306/41.868</f>
        <v>0</v>
      </c>
      <c r="F71" s="324">
        <f>'6-x'!N306/41.868</f>
        <v>0</v>
      </c>
      <c r="G71" s="324">
        <f>'6-x'!O306/41.868</f>
        <v>0</v>
      </c>
      <c r="H71" s="279">
        <f>'6-x'!P306/41.868</f>
        <v>0</v>
      </c>
    </row>
    <row r="72" spans="1:8">
      <c r="A72" s="257" t="s">
        <v>388</v>
      </c>
      <c r="B72" s="324">
        <f>'6-x'!J307/41.868</f>
        <v>0</v>
      </c>
      <c r="C72" s="324">
        <f>'6-x'!K307/41.868</f>
        <v>0</v>
      </c>
      <c r="D72" s="324">
        <f>'6-x'!L307/41.868</f>
        <v>0</v>
      </c>
      <c r="E72" s="324">
        <f>'6-x'!M307/41.868</f>
        <v>0</v>
      </c>
      <c r="F72" s="324">
        <f>'6-x'!N307/41.868</f>
        <v>0</v>
      </c>
      <c r="G72" s="324">
        <f>'6-x'!O307/41.868</f>
        <v>0</v>
      </c>
      <c r="H72" s="279">
        <f>'6-x'!P307/41.868</f>
        <v>0</v>
      </c>
    </row>
    <row r="73" spans="1:8">
      <c r="A73" s="258" t="s">
        <v>287</v>
      </c>
      <c r="B73" s="279">
        <f>'6-x'!J308/41.868</f>
        <v>7.8642495461927959</v>
      </c>
      <c r="C73" s="279">
        <f>'6-x'!K308/41.868</f>
        <v>11395.633016623675</v>
      </c>
      <c r="D73" s="279">
        <f>'6-x'!L308/41.868</f>
        <v>337.55807776822394</v>
      </c>
      <c r="E73" s="279">
        <f>'6-x'!M308/41.868</f>
        <v>303.53837871405364</v>
      </c>
      <c r="F73" s="279">
        <f>'6-x'!N308/41.868</f>
        <v>2596.8845681666194</v>
      </c>
      <c r="G73" s="279">
        <f>'6-x'!O308/41.868</f>
        <v>959.42683911340407</v>
      </c>
      <c r="H73" s="279">
        <f>'6-x'!P308/41.868</f>
        <v>15600.905129932169</v>
      </c>
    </row>
    <row r="74" spans="1:8">
      <c r="A74" s="257" t="s">
        <v>25</v>
      </c>
      <c r="B74" s="324">
        <f>'6-x'!J309/41.868</f>
        <v>0</v>
      </c>
      <c r="C74" s="324">
        <f>'6-x'!K309/41.868</f>
        <v>1510.0467540842646</v>
      </c>
      <c r="D74" s="324">
        <f>'6-x'!L309/41.868</f>
        <v>21.408378714053693</v>
      </c>
      <c r="E74" s="324">
        <f>'6-x'!M309/41.868</f>
        <v>3.6523765166714433</v>
      </c>
      <c r="F74" s="324">
        <f>'6-x'!N309/41.868</f>
        <v>375.55827839877708</v>
      </c>
      <c r="G74" s="324">
        <f>'6-x'!O309/41.868</f>
        <v>953.05543852106609</v>
      </c>
      <c r="H74" s="279">
        <f>'6-x'!P309/41.868</f>
        <v>2863.721226234833</v>
      </c>
    </row>
    <row r="75" spans="1:8">
      <c r="A75" s="257" t="s">
        <v>26</v>
      </c>
      <c r="B75" s="324">
        <f>'6-x'!J310/41.868</f>
        <v>0</v>
      </c>
      <c r="C75" s="324">
        <f>'6-x'!K310/41.868</f>
        <v>632.05462405655874</v>
      </c>
      <c r="D75" s="324">
        <f>'6-x'!L310/41.868</f>
        <v>0</v>
      </c>
      <c r="E75" s="324">
        <f>'6-x'!M310/41.868</f>
        <v>55.298985860322915</v>
      </c>
      <c r="F75" s="324">
        <f>'6-x'!N310/41.868</f>
        <v>4.8752269036017966</v>
      </c>
      <c r="G75" s="324">
        <f>'6-x'!O310/41.868</f>
        <v>1.1819695232635903</v>
      </c>
      <c r="H75" s="279">
        <f>'6-x'!P310/41.868</f>
        <v>693.41080634374703</v>
      </c>
    </row>
    <row r="76" spans="1:8">
      <c r="A76" s="257" t="s">
        <v>27</v>
      </c>
      <c r="B76" s="324">
        <f>'6-x'!J311/41.868</f>
        <v>0</v>
      </c>
      <c r="C76" s="324">
        <f>'6-x'!K311/41.868</f>
        <v>8985.6344320244571</v>
      </c>
      <c r="D76" s="324">
        <f>'6-x'!L311/41.868</f>
        <v>178.12080825451417</v>
      </c>
      <c r="E76" s="324">
        <f>'6-x'!M311/41.868</f>
        <v>204.71898108340494</v>
      </c>
      <c r="F76" s="324">
        <f>'6-x'!N311/41.868</f>
        <v>937.15026989586329</v>
      </c>
      <c r="G76" s="324">
        <f>'6-x'!O311/41.868</f>
        <v>4.8818787618228718</v>
      </c>
      <c r="H76" s="279">
        <f>'6-x'!P311/41.868</f>
        <v>10310.506370020061</v>
      </c>
    </row>
    <row r="77" spans="1:8">
      <c r="A77" s="257" t="s">
        <v>28</v>
      </c>
      <c r="B77" s="324">
        <f>'6-x'!J312/41.868</f>
        <v>0</v>
      </c>
      <c r="C77" s="324">
        <f>'6-x'!K312/41.868</f>
        <v>64.696114454953673</v>
      </c>
      <c r="D77" s="324">
        <f>'6-x'!L312/41.868</f>
        <v>0</v>
      </c>
      <c r="E77" s="324">
        <f>'6-x'!M312/41.868</f>
        <v>20.15471242954046</v>
      </c>
      <c r="F77" s="324">
        <f>'6-x'!N312/41.868</f>
        <v>91.210547434795075</v>
      </c>
      <c r="G77" s="324">
        <f>'6-x'!O312/41.868</f>
        <v>0</v>
      </c>
      <c r="H77" s="279">
        <f>'6-x'!P312/41.868</f>
        <v>176.0613743192892</v>
      </c>
    </row>
    <row r="78" spans="1:8">
      <c r="A78" s="257" t="s">
        <v>29</v>
      </c>
      <c r="B78" s="324">
        <f>'6-x'!J313/41.868</f>
        <v>7.8642495461927959</v>
      </c>
      <c r="C78" s="324">
        <f>'6-x'!K313/41.868</f>
        <v>203.20109200343938</v>
      </c>
      <c r="D78" s="324">
        <f>'6-x'!L313/41.868</f>
        <v>138.02889079965607</v>
      </c>
      <c r="E78" s="324">
        <f>'6-x'!M313/41.868</f>
        <v>19.713322824113881</v>
      </c>
      <c r="F78" s="324">
        <f>'6-x'!N313/41.868</f>
        <v>1188.0902455335818</v>
      </c>
      <c r="G78" s="324">
        <f>'6-x'!O313/41.868</f>
        <v>0.3075523072513614</v>
      </c>
      <c r="H78" s="279">
        <f>'6-x'!P313/41.868</f>
        <v>1557.2053530142352</v>
      </c>
    </row>
    <row r="79" spans="1:8">
      <c r="A79" s="257" t="s">
        <v>391</v>
      </c>
      <c r="B79" s="324">
        <f>'6-x'!J314/41.868</f>
        <v>0</v>
      </c>
      <c r="C79" s="324">
        <f>'6-x'!K314/41.868</f>
        <v>0</v>
      </c>
      <c r="D79" s="324">
        <f>'6-x'!L314/41.868</f>
        <v>0</v>
      </c>
      <c r="E79" s="324">
        <f>'6-x'!M314/41.868</f>
        <v>0</v>
      </c>
      <c r="F79" s="324">
        <f>'6-x'!N314/41.868</f>
        <v>0</v>
      </c>
      <c r="G79" s="324">
        <f>'6-x'!O314/41.868</f>
        <v>0</v>
      </c>
      <c r="H79" s="279">
        <f>'6-x'!P314/41.868</f>
        <v>0</v>
      </c>
    </row>
    <row r="80" spans="1:8">
      <c r="A80" s="368" t="s">
        <v>10</v>
      </c>
      <c r="B80" s="370">
        <f>'6-x'!J315/41.868</f>
        <v>3151.6114502722844</v>
      </c>
      <c r="C80" s="370">
        <f>'6-x'!K315/41.868</f>
        <v>20496.233291774144</v>
      </c>
      <c r="D80" s="370">
        <f>'6-x'!L315/41.868</f>
        <v>343.85736600745201</v>
      </c>
      <c r="E80" s="370">
        <f>'6-x'!M315/41.868</f>
        <v>573.75634947931587</v>
      </c>
      <c r="F80" s="370">
        <f>'6-x'!N315/41.868</f>
        <v>4548.0670980223567</v>
      </c>
      <c r="G80" s="370">
        <f>'6-x'!O315/41.868</f>
        <v>1613.4473473774719</v>
      </c>
      <c r="H80" s="370">
        <f>'6-x'!P315/41.868</f>
        <v>30726.97290293303</v>
      </c>
    </row>
    <row r="81" spans="1:8" ht="15.6">
      <c r="A81" s="360"/>
      <c r="B81" s="360"/>
      <c r="C81" s="360"/>
      <c r="D81" s="360"/>
      <c r="E81" s="360"/>
      <c r="F81" s="360"/>
      <c r="G81" s="360"/>
      <c r="H81" s="360"/>
    </row>
    <row r="82" spans="1:8" ht="15.6">
      <c r="A82" s="360"/>
      <c r="B82" s="360"/>
      <c r="C82" s="360"/>
      <c r="D82" s="360"/>
      <c r="E82" s="360"/>
      <c r="F82" s="360"/>
      <c r="G82" s="360"/>
      <c r="H82" s="360"/>
    </row>
    <row r="83" spans="1:8">
      <c r="B83" s="895" t="s">
        <v>11</v>
      </c>
      <c r="C83" s="895"/>
      <c r="D83" s="895"/>
      <c r="E83" s="895"/>
      <c r="F83" s="895"/>
      <c r="G83" s="895"/>
      <c r="H83" s="895"/>
    </row>
    <row r="84" spans="1:8" ht="28.8">
      <c r="B84" s="281" t="s">
        <v>5</v>
      </c>
      <c r="C84" s="281" t="s">
        <v>64</v>
      </c>
      <c r="D84" s="281" t="s">
        <v>7</v>
      </c>
      <c r="E84" s="281" t="s">
        <v>8</v>
      </c>
      <c r="F84" s="281" t="s">
        <v>267</v>
      </c>
      <c r="G84" s="281" t="s">
        <v>268</v>
      </c>
      <c r="H84" s="281" t="s">
        <v>10</v>
      </c>
    </row>
    <row r="85" spans="1:8">
      <c r="A85" s="283">
        <v>2019</v>
      </c>
      <c r="B85" s="896" t="s">
        <v>200</v>
      </c>
      <c r="C85" s="897"/>
      <c r="D85" s="897"/>
      <c r="E85" s="897"/>
      <c r="F85" s="897"/>
      <c r="G85" s="897"/>
      <c r="H85" s="898"/>
    </row>
    <row r="86" spans="1:8">
      <c r="A86" s="258" t="s">
        <v>286</v>
      </c>
      <c r="B86" s="279">
        <f>'6-x'!J393/41.868</f>
        <v>4277.8090140441391</v>
      </c>
      <c r="C86" s="279">
        <f>'6-x'!K393/41.868</f>
        <v>9327.3420798700681</v>
      </c>
      <c r="D86" s="279">
        <f>'6-x'!L393/41.868</f>
        <v>6.2892686538645259</v>
      </c>
      <c r="E86" s="279">
        <f>'6-x'!M393/41.868</f>
        <v>312.65625537403264</v>
      </c>
      <c r="F86" s="279">
        <f>'6-x'!N393/41.868</f>
        <v>1981.2156372408522</v>
      </c>
      <c r="G86" s="279">
        <f>'6-x'!O393/41.868</f>
        <v>695.472779927391</v>
      </c>
      <c r="H86" s="279">
        <f>'6-x'!P393/41.868</f>
        <v>16600.785035110344</v>
      </c>
    </row>
    <row r="87" spans="1:8">
      <c r="A87" s="257" t="s">
        <v>18</v>
      </c>
      <c r="B87" s="324">
        <f>'6-x'!J394/41.868</f>
        <v>0</v>
      </c>
      <c r="C87" s="324">
        <f>'6-x'!K394/41.868</f>
        <v>57.466308397821713</v>
      </c>
      <c r="D87" s="324">
        <f>'6-x'!L394/41.868</f>
        <v>6.2892686538645259</v>
      </c>
      <c r="E87" s="324">
        <f>'6-x'!M394/41.868</f>
        <v>44.949211808541129</v>
      </c>
      <c r="F87" s="324">
        <f>'6-x'!N394/41.868</f>
        <v>290.69370402216492</v>
      </c>
      <c r="G87" s="324">
        <f>'6-x'!O394/41.868</f>
        <v>680.72856835769562</v>
      </c>
      <c r="H87" s="279">
        <f>'6-x'!P394/41.868</f>
        <v>1080.1270612400879</v>
      </c>
    </row>
    <row r="88" spans="1:8">
      <c r="A88" s="257" t="s">
        <v>19</v>
      </c>
      <c r="B88" s="324">
        <f>'6-x'!J395/41.868</f>
        <v>0</v>
      </c>
      <c r="C88" s="324">
        <f>'6-x'!K395/41.868</f>
        <v>212.22955956816659</v>
      </c>
      <c r="D88" s="324">
        <f>'6-x'!L395/41.868</f>
        <v>0</v>
      </c>
      <c r="E88" s="324">
        <f>'6-x'!M395/41.868</f>
        <v>3.9269513709754467</v>
      </c>
      <c r="F88" s="324">
        <f>'6-x'!N395/41.868</f>
        <v>2.6310690742333049</v>
      </c>
      <c r="G88" s="324">
        <f>'6-x'!O395/41.868</f>
        <v>10.539911149326453</v>
      </c>
      <c r="H88" s="279">
        <f>'6-x'!P395/41.868</f>
        <v>229.32749116270179</v>
      </c>
    </row>
    <row r="89" spans="1:8">
      <c r="A89" s="257" t="s">
        <v>20</v>
      </c>
      <c r="B89" s="324">
        <f>'6-x'!J396/41.868</f>
        <v>4277.8090140441391</v>
      </c>
      <c r="C89" s="324">
        <f>'6-x'!K396/41.868</f>
        <v>58.987279067545607</v>
      </c>
      <c r="D89" s="324">
        <f>'6-x'!L396/41.868</f>
        <v>0</v>
      </c>
      <c r="E89" s="324">
        <f>'6-x'!M396/41.868</f>
        <v>263.33028804815132</v>
      </c>
      <c r="F89" s="324">
        <f>'6-x'!N396/41.868</f>
        <v>1378.8154485525938</v>
      </c>
      <c r="G89" s="324">
        <f>'6-x'!O396/41.868</f>
        <v>1.8603754657494982</v>
      </c>
      <c r="H89" s="279">
        <f>'6-x'!P396/41.868</f>
        <v>5980.8024051781786</v>
      </c>
    </row>
    <row r="90" spans="1:8">
      <c r="A90" s="257" t="s">
        <v>21</v>
      </c>
      <c r="B90" s="324">
        <f>'6-x'!J397/41.868</f>
        <v>0</v>
      </c>
      <c r="C90" s="324">
        <f>'6-x'!K397/41.868</f>
        <v>8998.6589328365335</v>
      </c>
      <c r="D90" s="324">
        <f>'6-x'!L397/41.868</f>
        <v>0</v>
      </c>
      <c r="E90" s="324">
        <f>'6-x'!M397/41.868</f>
        <v>0.4498041463647654</v>
      </c>
      <c r="F90" s="324">
        <f>'6-x'!N397/41.868</f>
        <v>309.07541559186006</v>
      </c>
      <c r="G90" s="324">
        <f>'6-x'!O397/41.868</f>
        <v>2.3439249546192795</v>
      </c>
      <c r="H90" s="279">
        <f>'6-x'!P397/41.868</f>
        <v>9310.5280775293777</v>
      </c>
    </row>
    <row r="91" spans="1:8">
      <c r="A91" s="257" t="s">
        <v>23</v>
      </c>
      <c r="B91" s="324">
        <f>'6-x'!J398/41.868</f>
        <v>0</v>
      </c>
      <c r="C91" s="324">
        <f>'6-x'!K398/41.868</f>
        <v>0</v>
      </c>
      <c r="D91" s="324">
        <f>'6-x'!L398/41.868</f>
        <v>0</v>
      </c>
      <c r="E91" s="324">
        <f>'6-x'!M398/41.868</f>
        <v>0</v>
      </c>
      <c r="F91" s="324">
        <f>'6-x'!N398/41.868</f>
        <v>0</v>
      </c>
      <c r="G91" s="324">
        <f>'6-x'!O398/41.868</f>
        <v>0</v>
      </c>
      <c r="H91" s="279">
        <f>'6-x'!P398/41.868</f>
        <v>0</v>
      </c>
    </row>
    <row r="92" spans="1:8">
      <c r="A92" s="257" t="s">
        <v>388</v>
      </c>
      <c r="B92" s="324">
        <f>'6-x'!J399/41.868</f>
        <v>0</v>
      </c>
      <c r="C92" s="324">
        <f>'6-x'!K399/41.868</f>
        <v>0</v>
      </c>
      <c r="D92" s="324">
        <f>'6-x'!L399/41.868</f>
        <v>0</v>
      </c>
      <c r="E92" s="324">
        <f>'6-x'!M399/41.868</f>
        <v>0</v>
      </c>
      <c r="F92" s="324">
        <f>'6-x'!N399/41.868</f>
        <v>0</v>
      </c>
      <c r="G92" s="324">
        <f>'6-x'!O399/41.868</f>
        <v>0</v>
      </c>
      <c r="H92" s="279">
        <f>'6-x'!P399/41.868</f>
        <v>0</v>
      </c>
    </row>
    <row r="93" spans="1:8">
      <c r="A93" s="258" t="s">
        <v>287</v>
      </c>
      <c r="B93" s="279">
        <f>'6-x'!J400/41.868</f>
        <v>14.645533581733064</v>
      </c>
      <c r="C93" s="279">
        <f>'6-x'!K400/41.868</f>
        <v>12324.269926913154</v>
      </c>
      <c r="D93" s="279">
        <f>'6-x'!L400/41.868</f>
        <v>483.58896531957578</v>
      </c>
      <c r="E93" s="279">
        <f>'6-x'!M400/41.868</f>
        <v>331.74335817330655</v>
      </c>
      <c r="F93" s="279">
        <f>'6-x'!N400/41.868</f>
        <v>2562.423051017483</v>
      </c>
      <c r="G93" s="279">
        <f>'6-x'!O400/41.868</f>
        <v>953.01611493264556</v>
      </c>
      <c r="H93" s="279">
        <f>'6-x'!P400/41.868</f>
        <v>16669.686949937895</v>
      </c>
    </row>
    <row r="94" spans="1:8">
      <c r="A94" s="257" t="s">
        <v>25</v>
      </c>
      <c r="B94" s="324">
        <f>'6-x'!J401/41.868</f>
        <v>0</v>
      </c>
      <c r="C94" s="324">
        <f>'6-x'!K401/41.868</f>
        <v>1424.1768844941246</v>
      </c>
      <c r="D94" s="324">
        <f>'6-x'!L401/41.868</f>
        <v>24.36966657112831</v>
      </c>
      <c r="E94" s="324">
        <f>'6-x'!M401/41.868</f>
        <v>4.9325021496130699</v>
      </c>
      <c r="F94" s="324">
        <f>'6-x'!N401/41.868</f>
        <v>377.320746154581</v>
      </c>
      <c r="G94" s="324">
        <f>'6-x'!O401/41.868</f>
        <v>946.6448409286329</v>
      </c>
      <c r="H94" s="279">
        <f>'6-x'!P401/41.868</f>
        <v>2777.4446402980798</v>
      </c>
    </row>
    <row r="95" spans="1:8">
      <c r="A95" s="257" t="s">
        <v>26</v>
      </c>
      <c r="B95" s="324">
        <f>'6-x'!J402/41.868</f>
        <v>0</v>
      </c>
      <c r="C95" s="324">
        <f>'6-x'!K402/41.868</f>
        <v>678.95656826215713</v>
      </c>
      <c r="D95" s="324">
        <f>'6-x'!L402/41.868</f>
        <v>0</v>
      </c>
      <c r="E95" s="324">
        <f>'6-x'!M402/41.868</f>
        <v>54.938208655775291</v>
      </c>
      <c r="F95" s="324">
        <f>'6-x'!N402/41.868</f>
        <v>4.5541606955192515</v>
      </c>
      <c r="G95" s="324">
        <f>'6-x'!O402/41.868</f>
        <v>0.74539266265405557</v>
      </c>
      <c r="H95" s="279">
        <f>'6-x'!P402/41.868</f>
        <v>739.19433027610569</v>
      </c>
    </row>
    <row r="96" spans="1:8">
      <c r="A96" s="257" t="s">
        <v>27</v>
      </c>
      <c r="B96" s="324">
        <f>'6-x'!J403/41.868</f>
        <v>0</v>
      </c>
      <c r="C96" s="324">
        <f>'6-x'!K403/41.868</f>
        <v>9971.2964555268936</v>
      </c>
      <c r="D96" s="324">
        <f>'6-x'!L403/41.868</f>
        <v>293.66317951657589</v>
      </c>
      <c r="E96" s="324">
        <f>'6-x'!M403/41.868</f>
        <v>223.34848571701536</v>
      </c>
      <c r="F96" s="324">
        <f>'6-x'!N403/41.868</f>
        <v>953.34289672303407</v>
      </c>
      <c r="G96" s="324">
        <f>'6-x'!O403/41.868</f>
        <v>4.7537403267411857</v>
      </c>
      <c r="H96" s="279">
        <f>'6-x'!P403/41.868</f>
        <v>11446.404757810262</v>
      </c>
    </row>
    <row r="97" spans="1:17">
      <c r="A97" s="257" t="s">
        <v>28</v>
      </c>
      <c r="B97" s="324">
        <f>'6-x'!J404/41.868</f>
        <v>1.2479602560428011</v>
      </c>
      <c r="C97" s="324">
        <f>'6-x'!K404/41.868</f>
        <v>76.16630362090379</v>
      </c>
      <c r="D97" s="324">
        <f>'6-x'!L404/41.868</f>
        <v>0</v>
      </c>
      <c r="E97" s="324">
        <f>'6-x'!M404/41.868</f>
        <v>20.532874749211807</v>
      </c>
      <c r="F97" s="324">
        <f>'6-x'!N404/41.868</f>
        <v>91.178728384446345</v>
      </c>
      <c r="G97" s="324">
        <f>'6-x'!O404/41.868</f>
        <v>0</v>
      </c>
      <c r="H97" s="279">
        <f>'6-x'!P404/41.868</f>
        <v>189.12586701060474</v>
      </c>
    </row>
    <row r="98" spans="1:17">
      <c r="A98" s="257" t="s">
        <v>29</v>
      </c>
      <c r="B98" s="324">
        <f>'6-x'!J405/41.868</f>
        <v>13.397573325690262</v>
      </c>
      <c r="C98" s="324">
        <f>'6-x'!K405/41.868</f>
        <v>173.67371500907615</v>
      </c>
      <c r="D98" s="324">
        <f>'6-x'!L405/41.868</f>
        <v>165.55611923187161</v>
      </c>
      <c r="E98" s="324">
        <f>'6-x'!M405/41.868</f>
        <v>27.99128690169103</v>
      </c>
      <c r="F98" s="324">
        <f>'6-x'!N405/41.868</f>
        <v>1136.0265190599025</v>
      </c>
      <c r="G98" s="324">
        <f>'6-x'!O405/41.868</f>
        <v>0.87214101461736881</v>
      </c>
      <c r="H98" s="279">
        <f>'6-x'!P405/41.868</f>
        <v>1517.517354542849</v>
      </c>
    </row>
    <row r="99" spans="1:17">
      <c r="A99" s="257" t="s">
        <v>391</v>
      </c>
      <c r="B99" s="324">
        <f>'6-x'!J406/41.868</f>
        <v>0</v>
      </c>
      <c r="C99" s="324">
        <f>'6-x'!K406/41.868</f>
        <v>0</v>
      </c>
      <c r="D99" s="324">
        <f>'6-x'!L406/41.868</f>
        <v>0</v>
      </c>
      <c r="E99" s="324">
        <f>'6-x'!M406/41.868</f>
        <v>0</v>
      </c>
      <c r="F99" s="324">
        <f>'6-x'!N406/41.868</f>
        <v>0</v>
      </c>
      <c r="G99" s="324">
        <f>'6-x'!O406/41.868</f>
        <v>0</v>
      </c>
      <c r="H99" s="279">
        <f>'6-x'!P406/41.868</f>
        <v>0</v>
      </c>
    </row>
    <row r="100" spans="1:17">
      <c r="A100" s="368" t="s">
        <v>10</v>
      </c>
      <c r="B100" s="370">
        <f>'6-x'!J407/41.868</f>
        <v>4292.4545476258718</v>
      </c>
      <c r="C100" s="370">
        <f>'6-x'!K407/41.868</f>
        <v>21651.61200678322</v>
      </c>
      <c r="D100" s="370">
        <f>'6-x'!L407/41.868</f>
        <v>489.87823397344033</v>
      </c>
      <c r="E100" s="370">
        <f>'6-x'!M407/41.868</f>
        <v>644.39961354733919</v>
      </c>
      <c r="F100" s="370">
        <f>'6-x'!N407/41.868</f>
        <v>4543.6386882583347</v>
      </c>
      <c r="G100" s="370">
        <f>'6-x'!O407/41.868</f>
        <v>1648.4888948600367</v>
      </c>
      <c r="H100" s="370">
        <f>'6-x'!P407/41.868</f>
        <v>33270.471985048243</v>
      </c>
    </row>
    <row r="101" spans="1:17" ht="15.6">
      <c r="A101" s="360"/>
      <c r="B101" s="360"/>
      <c r="C101" s="360"/>
      <c r="D101" s="360"/>
      <c r="E101" s="360"/>
      <c r="F101" s="360"/>
      <c r="G101" s="360"/>
      <c r="H101" s="360"/>
    </row>
    <row r="102" spans="1:17" ht="15.6">
      <c r="A102" s="360"/>
      <c r="B102" s="360"/>
      <c r="C102" s="360"/>
      <c r="D102" s="360"/>
      <c r="E102" s="360"/>
      <c r="F102" s="360"/>
      <c r="G102" s="360"/>
      <c r="H102" s="360"/>
    </row>
    <row r="103" spans="1:17">
      <c r="B103" s="895" t="s">
        <v>11</v>
      </c>
      <c r="C103" s="895"/>
      <c r="D103" s="895"/>
      <c r="E103" s="895"/>
      <c r="F103" s="895"/>
      <c r="G103" s="895"/>
      <c r="H103" s="895"/>
    </row>
    <row r="104" spans="1:17" ht="28.8">
      <c r="B104" s="281" t="s">
        <v>5</v>
      </c>
      <c r="C104" s="281" t="s">
        <v>64</v>
      </c>
      <c r="D104" s="281" t="s">
        <v>7</v>
      </c>
      <c r="E104" s="281" t="s">
        <v>8</v>
      </c>
      <c r="F104" s="281" t="s">
        <v>267</v>
      </c>
      <c r="G104" s="281" t="s">
        <v>268</v>
      </c>
      <c r="H104" s="281" t="s">
        <v>10</v>
      </c>
    </row>
    <row r="105" spans="1:17">
      <c r="A105" s="283">
        <v>2018</v>
      </c>
      <c r="B105" s="896" t="s">
        <v>200</v>
      </c>
      <c r="C105" s="897"/>
      <c r="D105" s="897"/>
      <c r="E105" s="897"/>
      <c r="F105" s="897"/>
      <c r="G105" s="897"/>
      <c r="H105" s="898"/>
    </row>
    <row r="106" spans="1:17">
      <c r="A106" s="258" t="s">
        <v>286</v>
      </c>
      <c r="B106" s="279">
        <f>'6-x'!J485/41.868</f>
        <v>6360.5153095442811</v>
      </c>
      <c r="C106" s="279">
        <f>'6-x'!K485/41.868</f>
        <v>7706.0549868634744</v>
      </c>
      <c r="D106" s="279">
        <f>'6-x'!L485/41.868</f>
        <v>6.077787331613643</v>
      </c>
      <c r="E106" s="279">
        <f>'6-x'!M485/41.868</f>
        <v>294.90071797076524</v>
      </c>
      <c r="F106" s="279">
        <f>'6-x'!N485/41.868</f>
        <v>1971.9805080252222</v>
      </c>
      <c r="G106" s="279">
        <f>'6-x'!O485/41.868</f>
        <v>693.31085626253946</v>
      </c>
      <c r="H106" s="279">
        <f>'6-x'!P485/41.868</f>
        <v>17032.840165997899</v>
      </c>
      <c r="K106" s="56"/>
      <c r="L106" s="56"/>
      <c r="M106" s="56"/>
      <c r="N106" s="56"/>
      <c r="O106" s="56"/>
      <c r="P106" s="56"/>
      <c r="Q106" s="56"/>
    </row>
    <row r="107" spans="1:17">
      <c r="A107" s="257" t="s">
        <v>18</v>
      </c>
      <c r="B107" s="324">
        <f>'6-x'!J486/41.868</f>
        <v>0</v>
      </c>
      <c r="C107" s="324">
        <f>'6-x'!K486/41.868</f>
        <v>60.21263853062004</v>
      </c>
      <c r="D107" s="324">
        <f>'6-x'!L486/41.868</f>
        <v>6.077787331613643</v>
      </c>
      <c r="E107" s="324">
        <f>'6-x'!M486/41.868</f>
        <v>44.327030190121334</v>
      </c>
      <c r="F107" s="324">
        <f>'6-x'!N486/41.868</f>
        <v>278.3491623674405</v>
      </c>
      <c r="G107" s="324">
        <f>'6-x'!O486/41.868</f>
        <v>681.2475518295596</v>
      </c>
      <c r="H107" s="279">
        <f>'6-x'!P486/41.868</f>
        <v>1070.2141702493552</v>
      </c>
    </row>
    <row r="108" spans="1:17">
      <c r="A108" s="257" t="s">
        <v>19</v>
      </c>
      <c r="B108" s="324">
        <f>'6-x'!J487/41.868</f>
        <v>0</v>
      </c>
      <c r="C108" s="324">
        <f>'6-x'!K487/41.868</f>
        <v>66.94292156300753</v>
      </c>
      <c r="D108" s="324">
        <f>'6-x'!L487/41.868</f>
        <v>0</v>
      </c>
      <c r="E108" s="324">
        <f>'6-x'!M487/41.868</f>
        <v>3.2281303143211999</v>
      </c>
      <c r="F108" s="324">
        <f>'6-x'!N487/41.868</f>
        <v>3.5952737173975353</v>
      </c>
      <c r="G108" s="324">
        <f>'6-x'!O487/41.868</f>
        <v>7.8698789051304106</v>
      </c>
      <c r="H108" s="279">
        <f>'6-x'!P487/41.868</f>
        <v>81.636204499856689</v>
      </c>
    </row>
    <row r="109" spans="1:17">
      <c r="A109" s="257" t="s">
        <v>20</v>
      </c>
      <c r="B109" s="324">
        <f>'6-x'!J488/41.868</f>
        <v>6360.5153095442811</v>
      </c>
      <c r="C109" s="324">
        <f>'6-x'!K488/41.868</f>
        <v>48.499154485525935</v>
      </c>
      <c r="D109" s="324">
        <f>'6-x'!L488/41.868</f>
        <v>0</v>
      </c>
      <c r="E109" s="324">
        <f>'6-x'!M488/41.868</f>
        <v>247.22807394668956</v>
      </c>
      <c r="F109" s="324">
        <f>'6-x'!N488/41.868</f>
        <v>1390.2004514187445</v>
      </c>
      <c r="G109" s="324">
        <f>'6-x'!O488/41.868</f>
        <v>1.8492399923569312</v>
      </c>
      <c r="H109" s="279">
        <f>'6-x'!P488/41.868</f>
        <v>8048.2922293875981</v>
      </c>
    </row>
    <row r="110" spans="1:17">
      <c r="A110" s="257" t="s">
        <v>21</v>
      </c>
      <c r="B110" s="324">
        <f>'6-x'!J489/41.868</f>
        <v>0</v>
      </c>
      <c r="C110" s="324">
        <f>'6-x'!K489/41.868</f>
        <v>7530.4002722843215</v>
      </c>
      <c r="D110" s="324">
        <f>'6-x'!L489/41.868</f>
        <v>0</v>
      </c>
      <c r="E110" s="324">
        <f>'6-x'!M489/41.868</f>
        <v>0.11748351963313269</v>
      </c>
      <c r="F110" s="324">
        <f>'6-x'!N489/41.868</f>
        <v>299.83562052163944</v>
      </c>
      <c r="G110" s="324">
        <f>'6-x'!O489/41.868</f>
        <v>2.3441855354925001</v>
      </c>
      <c r="H110" s="279">
        <f>'6-x'!P489/41.868</f>
        <v>7832.6975618610868</v>
      </c>
    </row>
    <row r="111" spans="1:17">
      <c r="A111" s="257" t="s">
        <v>23</v>
      </c>
      <c r="B111" s="324">
        <f>'6-x'!J490/41.868</f>
        <v>0</v>
      </c>
      <c r="C111" s="324">
        <f>'6-x'!K490/41.868</f>
        <v>0</v>
      </c>
      <c r="D111" s="324">
        <f>'6-x'!L490/41.868</f>
        <v>0</v>
      </c>
      <c r="E111" s="324">
        <f>'6-x'!M490/41.868</f>
        <v>0</v>
      </c>
      <c r="F111" s="324">
        <f>'6-x'!N490/41.868</f>
        <v>0</v>
      </c>
      <c r="G111" s="324">
        <f>'6-x'!O490/41.868</f>
        <v>0</v>
      </c>
      <c r="H111" s="279">
        <f>'6-x'!P490/41.868</f>
        <v>0</v>
      </c>
    </row>
    <row r="112" spans="1:17">
      <c r="A112" s="257" t="s">
        <v>388</v>
      </c>
      <c r="B112" s="324">
        <f>'6-x'!J491/41.868</f>
        <v>0</v>
      </c>
      <c r="C112" s="324">
        <f>'6-x'!K491/41.868</f>
        <v>0</v>
      </c>
      <c r="D112" s="324">
        <f>'6-x'!L491/41.868</f>
        <v>0</v>
      </c>
      <c r="E112" s="324">
        <f>'6-x'!M491/41.868</f>
        <v>0</v>
      </c>
      <c r="F112" s="324">
        <f>'6-x'!N491/41.868</f>
        <v>0</v>
      </c>
      <c r="G112" s="324">
        <f>'6-x'!O491/41.868</f>
        <v>0</v>
      </c>
      <c r="H112" s="279">
        <f>'6-x'!P491/41.868</f>
        <v>0</v>
      </c>
    </row>
    <row r="113" spans="1:17">
      <c r="A113" s="258" t="s">
        <v>287</v>
      </c>
      <c r="B113" s="279">
        <f>'6-x'!J492/41.868</f>
        <v>14.551036591191362</v>
      </c>
      <c r="C113" s="279">
        <f>'6-x'!K492/41.868</f>
        <v>11902.327773717398</v>
      </c>
      <c r="D113" s="279">
        <f>'6-x'!L492/41.868</f>
        <v>550.05682621572555</v>
      </c>
      <c r="E113" s="279">
        <f>'6-x'!M492/41.868</f>
        <v>316.22471290723217</v>
      </c>
      <c r="F113" s="279">
        <f>'6-x'!N492/41.868</f>
        <v>2612.1990073564539</v>
      </c>
      <c r="G113" s="279">
        <f>'6-x'!O492/41.868</f>
        <v>912.41835005254597</v>
      </c>
      <c r="H113" s="279">
        <f>'6-x'!P492/41.868</f>
        <v>16307.777706840547</v>
      </c>
      <c r="K113" s="487"/>
      <c r="L113" s="487"/>
      <c r="M113" s="487"/>
      <c r="N113" s="487"/>
      <c r="O113" s="487"/>
      <c r="P113" s="487"/>
      <c r="Q113" s="487"/>
    </row>
    <row r="114" spans="1:17">
      <c r="A114" s="257" t="s">
        <v>25</v>
      </c>
      <c r="B114" s="324">
        <f>'6-x'!J493/41.868</f>
        <v>0</v>
      </c>
      <c r="C114" s="324">
        <f>'6-x'!K493/41.868</f>
        <v>1315.6193035253655</v>
      </c>
      <c r="D114" s="324">
        <f>'6-x'!L493/41.868</f>
        <v>25.708949555746631</v>
      </c>
      <c r="E114" s="324">
        <f>'6-x'!M493/41.868</f>
        <v>5.2752866150759532</v>
      </c>
      <c r="F114" s="324">
        <f>'6-x'!N493/41.868</f>
        <v>330.91521926053309</v>
      </c>
      <c r="G114" s="324">
        <f>'6-x'!O493/41.868</f>
        <v>905.51167956434494</v>
      </c>
      <c r="H114" s="279">
        <f>'6-x'!P493/41.868</f>
        <v>2583.0304385210657</v>
      </c>
    </row>
    <row r="115" spans="1:17">
      <c r="A115" s="257" t="s">
        <v>26</v>
      </c>
      <c r="B115" s="324">
        <f>'6-x'!J494/41.868</f>
        <v>0</v>
      </c>
      <c r="C115" s="324">
        <f>'6-x'!K494/41.868</f>
        <v>666.03747492118089</v>
      </c>
      <c r="D115" s="324">
        <f>'6-x'!L494/41.868</f>
        <v>0</v>
      </c>
      <c r="E115" s="324">
        <f>'6-x'!M494/41.868</f>
        <v>40.237697047864714</v>
      </c>
      <c r="F115" s="324">
        <f>'6-x'!N494/41.868</f>
        <v>4.1164134900162415</v>
      </c>
      <c r="G115" s="324">
        <f>'6-x'!O494/41.868</f>
        <v>0.63554504633610387</v>
      </c>
      <c r="H115" s="279">
        <f>'6-x'!P494/41.868</f>
        <v>711.02713050539808</v>
      </c>
    </row>
    <row r="116" spans="1:17">
      <c r="A116" s="257" t="s">
        <v>27</v>
      </c>
      <c r="B116" s="324">
        <f>'6-x'!J495/41.868</f>
        <v>13.084683290341072</v>
      </c>
      <c r="C116" s="324">
        <f>'6-x'!K495/41.868</f>
        <v>9691.0157029234724</v>
      </c>
      <c r="D116" s="324">
        <f>'6-x'!L495/41.868</f>
        <v>297.68914206553933</v>
      </c>
      <c r="E116" s="324">
        <f>'6-x'!M495/41.868</f>
        <v>219.35873602751502</v>
      </c>
      <c r="F116" s="324">
        <f>'6-x'!N495/41.868</f>
        <v>1093.9402159166905</v>
      </c>
      <c r="G116" s="324">
        <f>'6-x'!O495/41.868</f>
        <v>4.7018715964459723</v>
      </c>
      <c r="H116" s="279">
        <f>'6-x'!P495/41.868</f>
        <v>11319.790351820006</v>
      </c>
      <c r="K116" s="284"/>
      <c r="L116" s="284"/>
      <c r="M116" s="284"/>
      <c r="N116" s="284"/>
      <c r="O116" s="284"/>
      <c r="P116" s="284"/>
      <c r="Q116" s="284"/>
    </row>
    <row r="117" spans="1:17">
      <c r="A117" s="257" t="s">
        <v>28</v>
      </c>
      <c r="B117" s="324">
        <f>'6-x'!J496/41.868</f>
        <v>1.4663533008502914</v>
      </c>
      <c r="C117" s="324">
        <f>'6-x'!K496/41.868</f>
        <v>76.113073946689582</v>
      </c>
      <c r="D117" s="324">
        <f>'6-x'!L496/41.868</f>
        <v>0</v>
      </c>
      <c r="E117" s="324">
        <f>'6-x'!M496/41.868</f>
        <v>17.813984904939332</v>
      </c>
      <c r="F117" s="324">
        <f>'6-x'!N496/41.868</f>
        <v>93.859455431355698</v>
      </c>
      <c r="G117" s="324">
        <f>'6-x'!O496/41.868</f>
        <v>0</v>
      </c>
      <c r="H117" s="279">
        <f>'6-x'!P496/41.868</f>
        <v>189.2528675838349</v>
      </c>
    </row>
    <row r="118" spans="1:17">
      <c r="A118" s="257" t="s">
        <v>29</v>
      </c>
      <c r="B118" s="324">
        <f>'6-x'!J497/41.868</f>
        <v>0</v>
      </c>
      <c r="C118" s="324">
        <f>'6-x'!K497/41.868</f>
        <v>153.54221840068786</v>
      </c>
      <c r="D118" s="324">
        <f>'6-x'!L497/41.868</f>
        <v>226.65873459443961</v>
      </c>
      <c r="E118" s="324">
        <f>'6-x'!M497/41.868</f>
        <v>33.5390083118372</v>
      </c>
      <c r="F118" s="324">
        <f>'6-x'!N497/41.868</f>
        <v>1089.367703257858</v>
      </c>
      <c r="G118" s="324">
        <f>'6-x'!O497/41.868</f>
        <v>1.5692538454189358</v>
      </c>
      <c r="H118" s="279">
        <f>'6-x'!P497/41.868</f>
        <v>1504.6769184102418</v>
      </c>
    </row>
    <row r="119" spans="1:17">
      <c r="A119" s="257" t="s">
        <v>391</v>
      </c>
      <c r="B119" s="324">
        <f>'6-x'!J498/41.868</f>
        <v>0</v>
      </c>
      <c r="C119" s="324">
        <f>'6-x'!K498/41.868</f>
        <v>0</v>
      </c>
      <c r="D119" s="324">
        <f>'6-x'!L498/41.868</f>
        <v>0</v>
      </c>
      <c r="E119" s="324">
        <f>'6-x'!M498/41.868</f>
        <v>0</v>
      </c>
      <c r="F119" s="324">
        <f>'6-x'!N498/41.868</f>
        <v>0</v>
      </c>
      <c r="G119" s="324">
        <f>'6-x'!O498/41.868</f>
        <v>0</v>
      </c>
      <c r="H119" s="279">
        <f>'6-x'!P498/41.868</f>
        <v>0</v>
      </c>
    </row>
    <row r="120" spans="1:17">
      <c r="A120" s="368" t="s">
        <v>10</v>
      </c>
      <c r="B120" s="370">
        <f>'6-x'!J499/41.868</f>
        <v>6375.0663461354716</v>
      </c>
      <c r="C120" s="370">
        <f>'6-x'!K499/41.868</f>
        <v>19608.382760580873</v>
      </c>
      <c r="D120" s="370">
        <f>'6-x'!L499/41.868</f>
        <v>556.1346135473392</v>
      </c>
      <c r="E120" s="370">
        <f>'6-x'!M499/41.868</f>
        <v>611.12543087799736</v>
      </c>
      <c r="F120" s="370">
        <f>'6-x'!N499/41.868</f>
        <v>4584.1795153816756</v>
      </c>
      <c r="G120" s="370">
        <f>'6-x'!O499/41.868</f>
        <v>1605.7292063150853</v>
      </c>
      <c r="H120" s="370">
        <f>'6-x'!P499/41.868</f>
        <v>33340.61787283844</v>
      </c>
    </row>
    <row r="121" spans="1:17" ht="15.6">
      <c r="A121" s="360"/>
      <c r="B121" s="360"/>
      <c r="C121" s="360"/>
      <c r="D121" s="360"/>
      <c r="E121" s="360"/>
      <c r="F121" s="360"/>
      <c r="G121" s="360"/>
      <c r="H121" s="360"/>
    </row>
    <row r="122" spans="1:17" ht="15.6">
      <c r="A122" s="360"/>
      <c r="B122" s="360"/>
      <c r="C122" s="360"/>
      <c r="D122" s="360"/>
      <c r="E122" s="360"/>
      <c r="F122" s="360"/>
      <c r="G122" s="360"/>
      <c r="H122" s="360"/>
    </row>
    <row r="123" spans="1:17">
      <c r="B123" s="895" t="s">
        <v>11</v>
      </c>
      <c r="C123" s="895"/>
      <c r="D123" s="895"/>
      <c r="E123" s="895"/>
      <c r="F123" s="895"/>
      <c r="G123" s="895"/>
      <c r="H123" s="895"/>
    </row>
    <row r="124" spans="1:17" ht="28.8">
      <c r="B124" s="281" t="s">
        <v>5</v>
      </c>
      <c r="C124" s="281" t="s">
        <v>64</v>
      </c>
      <c r="D124" s="281" t="s">
        <v>7</v>
      </c>
      <c r="E124" s="281" t="s">
        <v>8</v>
      </c>
      <c r="F124" s="281" t="s">
        <v>267</v>
      </c>
      <c r="G124" s="281" t="s">
        <v>268</v>
      </c>
      <c r="H124" s="281" t="s">
        <v>10</v>
      </c>
    </row>
    <row r="125" spans="1:17">
      <c r="A125" s="283">
        <v>2017</v>
      </c>
      <c r="B125" s="896" t="s">
        <v>200</v>
      </c>
      <c r="C125" s="897"/>
      <c r="D125" s="897"/>
      <c r="E125" s="897"/>
      <c r="F125" s="897"/>
      <c r="G125" s="897"/>
      <c r="H125" s="898"/>
    </row>
    <row r="126" spans="1:17">
      <c r="A126" s="258" t="s">
        <v>286</v>
      </c>
      <c r="B126" s="279">
        <f>'6-x'!J575/41.868</f>
        <v>7206.7966220024846</v>
      </c>
      <c r="C126" s="279">
        <f>'6-x'!K575/41.868</f>
        <v>8683.2757247778718</v>
      </c>
      <c r="D126" s="279">
        <f>'6-x'!L575/41.868</f>
        <v>6.8902837489251931</v>
      </c>
      <c r="E126" s="279">
        <f>'6-x'!M575/41.868</f>
        <v>471.08979960829276</v>
      </c>
      <c r="F126" s="279">
        <f>'6-x'!N575/41.868</f>
        <v>2038.3779616891177</v>
      </c>
      <c r="G126" s="279">
        <f>'6-x'!O575/41.868</f>
        <v>713.34906133562617</v>
      </c>
      <c r="H126" s="279">
        <f>'6-x'!P575/41.868</f>
        <v>19119.779453162319</v>
      </c>
      <c r="L126" s="56"/>
    </row>
    <row r="127" spans="1:17">
      <c r="A127" s="257" t="s">
        <v>18</v>
      </c>
      <c r="B127" s="324">
        <f>'6-x'!J576/41.868</f>
        <v>0</v>
      </c>
      <c r="C127" s="324">
        <f>'6-x'!K576/41.868</f>
        <v>64.16594941243909</v>
      </c>
      <c r="D127" s="324">
        <f>'6-x'!L576/41.868</f>
        <v>6.8902837489251931</v>
      </c>
      <c r="E127" s="324">
        <f>'6-x'!M576/41.868</f>
        <v>50.778484761631788</v>
      </c>
      <c r="F127" s="324">
        <f>'6-x'!N576/41.868</f>
        <v>264.440861755995</v>
      </c>
      <c r="G127" s="324">
        <f>'6-x'!O576/41.868</f>
        <v>700.17736696283555</v>
      </c>
      <c r="H127" s="279">
        <f>'6-x'!P576/41.868</f>
        <v>1086.4529466418267</v>
      </c>
    </row>
    <row r="128" spans="1:17">
      <c r="A128" s="257" t="s">
        <v>19</v>
      </c>
      <c r="B128" s="324">
        <f>'6-x'!J577/41.868</f>
        <v>0</v>
      </c>
      <c r="C128" s="324">
        <f>'6-x'!K577/41.868</f>
        <v>153.23152765835482</v>
      </c>
      <c r="D128" s="324">
        <f>'6-x'!L577/41.868</f>
        <v>0</v>
      </c>
      <c r="E128" s="324">
        <f>'6-x'!M577/41.868</f>
        <v>2.8849651284990925</v>
      </c>
      <c r="F128" s="324">
        <f>'6-x'!N577/41.868</f>
        <v>3.7566423043852102</v>
      </c>
      <c r="G128" s="324">
        <f>'6-x'!O577/41.868</f>
        <v>8.8850745199197476</v>
      </c>
      <c r="H128" s="279">
        <f>'6-x'!P577/41.868</f>
        <v>168.75820961115886</v>
      </c>
    </row>
    <row r="129" spans="1:16">
      <c r="A129" s="257" t="s">
        <v>20</v>
      </c>
      <c r="B129" s="324">
        <f>'6-x'!J578/41.868</f>
        <v>7206.7966220024846</v>
      </c>
      <c r="C129" s="324">
        <f>'6-x'!K578/41.868</f>
        <v>81.365554600171976</v>
      </c>
      <c r="D129" s="324">
        <f>'6-x'!L578/41.868</f>
        <v>0</v>
      </c>
      <c r="E129" s="324">
        <f>'6-x'!M578/41.868</f>
        <v>416.83669652240383</v>
      </c>
      <c r="F129" s="324">
        <f>'6-x'!N578/41.868</f>
        <v>1409.2593484283937</v>
      </c>
      <c r="G129" s="324">
        <f>'6-x'!O578/41.868</f>
        <v>1.8384971816184197</v>
      </c>
      <c r="H129" s="279">
        <f>'6-x'!P578/41.868</f>
        <v>9116.0967187350743</v>
      </c>
    </row>
    <row r="130" spans="1:16">
      <c r="A130" s="257" t="s">
        <v>21</v>
      </c>
      <c r="B130" s="324">
        <f>'6-x'!J579/41.868</f>
        <v>0</v>
      </c>
      <c r="C130" s="324">
        <f>'6-x'!K579/41.868</f>
        <v>8384.5126931069062</v>
      </c>
      <c r="D130" s="324">
        <f>'6-x'!L579/41.868</f>
        <v>0</v>
      </c>
      <c r="E130" s="324">
        <f>'6-x'!M579/41.868</f>
        <v>0.58965319575809683</v>
      </c>
      <c r="F130" s="324">
        <f>'6-x'!N579/41.868</f>
        <v>360.92110920034395</v>
      </c>
      <c r="G130" s="324">
        <f>'6-x'!O579/41.868</f>
        <v>2.4481226712525075</v>
      </c>
      <c r="H130" s="279">
        <f>'6-x'!P579/41.868</f>
        <v>8748.4715781742616</v>
      </c>
    </row>
    <row r="131" spans="1:16">
      <c r="A131" s="257" t="s">
        <v>23</v>
      </c>
      <c r="B131" s="324">
        <f>'6-x'!J580/41.868</f>
        <v>0</v>
      </c>
      <c r="C131" s="324">
        <f>'6-x'!K580/41.868</f>
        <v>0</v>
      </c>
      <c r="D131" s="324">
        <f>'6-x'!L580/41.868</f>
        <v>0</v>
      </c>
      <c r="E131" s="324">
        <f>'6-x'!M580/41.868</f>
        <v>0</v>
      </c>
      <c r="F131" s="324">
        <f>'6-x'!N580/41.868</f>
        <v>0</v>
      </c>
      <c r="G131" s="324">
        <f>'6-x'!O580/41.868</f>
        <v>0</v>
      </c>
      <c r="H131" s="279">
        <f>'6-x'!P580/41.868</f>
        <v>0</v>
      </c>
    </row>
    <row r="132" spans="1:16">
      <c r="A132" s="258" t="s">
        <v>287</v>
      </c>
      <c r="B132" s="279">
        <f>'6-x'!J581/41.868</f>
        <v>14.734030763351482</v>
      </c>
      <c r="C132" s="279">
        <f>'6-x'!K581/41.868</f>
        <v>12746.631385353969</v>
      </c>
      <c r="D132" s="279">
        <f>'6-x'!L581/41.868</f>
        <v>501.05507069838535</v>
      </c>
      <c r="E132" s="279">
        <f>'6-x'!M581/41.868</f>
        <v>324.0345925289003</v>
      </c>
      <c r="F132" s="279">
        <f>'6-x'!N581/41.868</f>
        <v>2530.8028441769366</v>
      </c>
      <c r="G132" s="279">
        <f>'6-x'!O581/41.868</f>
        <v>900.56424715773369</v>
      </c>
      <c r="H132" s="279">
        <f>'6-x'!P581/41.868</f>
        <v>17017.822170679276</v>
      </c>
    </row>
    <row r="133" spans="1:16">
      <c r="A133" s="257" t="s">
        <v>25</v>
      </c>
      <c r="B133" s="324">
        <f>'6-x'!J582/41.868</f>
        <v>0</v>
      </c>
      <c r="C133" s="324">
        <f>'6-x'!K582/41.868</f>
        <v>1224.2825604280119</v>
      </c>
      <c r="D133" s="324">
        <f>'6-x'!L582/41.868</f>
        <v>21.718871214292534</v>
      </c>
      <c r="E133" s="324">
        <f>'6-x'!M582/41.868</f>
        <v>6.0281336581637532</v>
      </c>
      <c r="F133" s="324">
        <f>'6-x'!N582/41.868</f>
        <v>313.13876468902265</v>
      </c>
      <c r="G133" s="324">
        <f>'6-x'!O582/41.868</f>
        <v>893.82335912868996</v>
      </c>
      <c r="H133" s="279">
        <f>'6-x'!P582/41.868</f>
        <v>2458.9916891181806</v>
      </c>
    </row>
    <row r="134" spans="1:16">
      <c r="A134" s="257" t="s">
        <v>26</v>
      </c>
      <c r="B134" s="324">
        <f>'6-x'!J583/41.868</f>
        <v>0</v>
      </c>
      <c r="C134" s="324">
        <f>'6-x'!K583/41.868</f>
        <v>658.07928991114932</v>
      </c>
      <c r="D134" s="324">
        <f>'6-x'!L583/41.868</f>
        <v>0</v>
      </c>
      <c r="E134" s="324">
        <f>'6-x'!M583/41.868</f>
        <v>51.204769274863857</v>
      </c>
      <c r="F134" s="324">
        <f>'6-x'!N583/41.868</f>
        <v>3.1449355116079101</v>
      </c>
      <c r="G134" s="324">
        <f>'6-x'!O583/41.868</f>
        <v>0.69790770994554308</v>
      </c>
      <c r="H134" s="279">
        <f>'6-x'!P583/41.868</f>
        <v>713.1269024075666</v>
      </c>
    </row>
    <row r="135" spans="1:16">
      <c r="A135" s="257" t="s">
        <v>27</v>
      </c>
      <c r="B135" s="324">
        <f>'6-x'!J584/41.868</f>
        <v>13.198079678991114</v>
      </c>
      <c r="C135" s="324">
        <f>'6-x'!K584/41.868</f>
        <v>10606.610852966463</v>
      </c>
      <c r="D135" s="324">
        <f>'6-x'!L584/41.868</f>
        <v>256.99944110060193</v>
      </c>
      <c r="E135" s="324">
        <f>'6-x'!M584/41.868</f>
        <v>209.72384732970286</v>
      </c>
      <c r="F135" s="324">
        <f>'6-x'!N584/41.868</f>
        <v>1039.800773860705</v>
      </c>
      <c r="G135" s="324">
        <f>'6-x'!O584/41.868</f>
        <v>4.7751982420942003</v>
      </c>
      <c r="H135" s="279">
        <f>'6-x'!P584/41.868</f>
        <v>12131.108193178559</v>
      </c>
    </row>
    <row r="136" spans="1:16">
      <c r="A136" s="257" t="s">
        <v>28</v>
      </c>
      <c r="B136" s="324">
        <f>'6-x'!J585/41.868</f>
        <v>1.5359510843603708</v>
      </c>
      <c r="C136" s="324">
        <f>'6-x'!K585/41.868</f>
        <v>81.639087130983086</v>
      </c>
      <c r="D136" s="324">
        <f>'6-x'!L585/41.868</f>
        <v>0</v>
      </c>
      <c r="E136" s="324">
        <f>'6-x'!M585/41.868</f>
        <v>13.121990541702495</v>
      </c>
      <c r="F136" s="324">
        <f>'6-x'!N585/41.868</f>
        <v>89.774586796598825</v>
      </c>
      <c r="G136" s="324">
        <f>'6-x'!O585/41.868</f>
        <v>0</v>
      </c>
      <c r="H136" s="279">
        <f>'6-x'!P585/41.868</f>
        <v>186.07161555364479</v>
      </c>
    </row>
    <row r="137" spans="1:16">
      <c r="A137" s="257" t="s">
        <v>29</v>
      </c>
      <c r="B137" s="324">
        <f>'6-x'!J586/41.868</f>
        <v>0</v>
      </c>
      <c r="C137" s="324">
        <f>'6-x'!K586/41.868</f>
        <v>176.01959491735929</v>
      </c>
      <c r="D137" s="324">
        <f>'6-x'!L586/41.868</f>
        <v>222.33675838349097</v>
      </c>
      <c r="E137" s="324">
        <f>'6-x'!M586/41.868</f>
        <v>43.955851724467372</v>
      </c>
      <c r="F137" s="324">
        <f>'6-x'!N586/41.868</f>
        <v>1084.9437833190025</v>
      </c>
      <c r="G137" s="324">
        <f>'6-x'!O586/41.868</f>
        <v>1.267782077003917</v>
      </c>
      <c r="H137" s="279">
        <f>'6-x'!P586/41.868</f>
        <v>1528.5237704213241</v>
      </c>
    </row>
    <row r="138" spans="1:16">
      <c r="A138" s="368" t="s">
        <v>10</v>
      </c>
      <c r="B138" s="370">
        <f>'6-x'!J587/41.868</f>
        <v>7221.5306527658349</v>
      </c>
      <c r="C138" s="370">
        <f>'6-x'!K587/41.868</f>
        <v>21429.907110131837</v>
      </c>
      <c r="D138" s="370">
        <f>'6-x'!L587/41.868</f>
        <v>507.94535444731059</v>
      </c>
      <c r="E138" s="370">
        <f>'6-x'!M587/41.868</f>
        <v>795.12439213719301</v>
      </c>
      <c r="F138" s="370">
        <f>'6-x'!N587/41.868</f>
        <v>4569.1808058660545</v>
      </c>
      <c r="G138" s="370">
        <f>'6-x'!O587/41.868</f>
        <v>1613.9133084933599</v>
      </c>
      <c r="H138" s="370">
        <f>'6-x'!P587/41.868</f>
        <v>36137.601623841598</v>
      </c>
    </row>
    <row r="139" spans="1:16" ht="15.6">
      <c r="A139" s="360"/>
      <c r="B139" s="360"/>
      <c r="C139" s="360"/>
      <c r="D139" s="360"/>
      <c r="E139" s="360"/>
      <c r="F139" s="360"/>
      <c r="G139" s="360"/>
      <c r="H139" s="360"/>
    </row>
    <row r="140" spans="1:16" ht="15.6">
      <c r="A140" s="360"/>
      <c r="B140" s="360"/>
      <c r="C140" s="360"/>
      <c r="D140" s="360"/>
      <c r="E140" s="360"/>
      <c r="F140" s="360"/>
      <c r="G140" s="360"/>
      <c r="H140" s="360"/>
    </row>
    <row r="141" spans="1:16">
      <c r="B141" s="895" t="s">
        <v>11</v>
      </c>
      <c r="C141" s="895"/>
      <c r="D141" s="895"/>
      <c r="E141" s="895"/>
      <c r="F141" s="895"/>
      <c r="G141" s="895"/>
      <c r="H141" s="895"/>
    </row>
    <row r="142" spans="1:16" ht="28.8">
      <c r="B142" s="281" t="s">
        <v>5</v>
      </c>
      <c r="C142" s="281" t="s">
        <v>64</v>
      </c>
      <c r="D142" s="281" t="s">
        <v>7</v>
      </c>
      <c r="E142" s="281" t="s">
        <v>8</v>
      </c>
      <c r="F142" s="281" t="s">
        <v>267</v>
      </c>
      <c r="G142" s="281" t="s">
        <v>268</v>
      </c>
      <c r="H142" s="281" t="s">
        <v>10</v>
      </c>
    </row>
    <row r="143" spans="1:16" ht="14.7" customHeight="1">
      <c r="A143" s="283">
        <v>2016</v>
      </c>
      <c r="B143" s="896" t="s">
        <v>200</v>
      </c>
      <c r="C143" s="897"/>
      <c r="D143" s="897"/>
      <c r="E143" s="897"/>
      <c r="F143" s="897"/>
      <c r="G143" s="897"/>
      <c r="H143" s="898"/>
    </row>
    <row r="144" spans="1:16">
      <c r="A144" s="258" t="s">
        <v>286</v>
      </c>
      <c r="B144" s="279">
        <f>'6-x'!J660/41.868</f>
        <v>7993.362226043756</v>
      </c>
      <c r="C144" s="279">
        <f>'6-x'!K660/41.868</f>
        <v>7330.8878972484954</v>
      </c>
      <c r="D144" s="279">
        <f>'6-x'!L660/41.868</f>
        <v>7.4822656921754094</v>
      </c>
      <c r="E144" s="279">
        <f>'6-x'!M660/41.868</f>
        <v>470.93523932358841</v>
      </c>
      <c r="F144" s="279">
        <f>'6-x'!N660/41.868</f>
        <v>2177.9772547052644</v>
      </c>
      <c r="G144" s="279">
        <f>'6-x'!O660/41.868</f>
        <v>741.37363141301216</v>
      </c>
      <c r="H144" s="279">
        <f>'6-x'!P660/41.868</f>
        <v>18722.018514426287</v>
      </c>
      <c r="I144" s="284"/>
      <c r="J144" s="177"/>
      <c r="K144" s="177"/>
      <c r="L144" s="177"/>
      <c r="M144" s="177"/>
      <c r="N144" s="177"/>
      <c r="O144" s="177"/>
      <c r="P144" s="177"/>
    </row>
    <row r="145" spans="1:16">
      <c r="A145" s="257" t="s">
        <v>18</v>
      </c>
      <c r="B145" s="324">
        <f>'6-x'!J661/41.868</f>
        <v>0</v>
      </c>
      <c r="C145" s="324">
        <f>'6-x'!K661/41.868</f>
        <v>57.549995223082064</v>
      </c>
      <c r="D145" s="324">
        <f>'6-x'!L661/41.868</f>
        <v>7.4822656921754094</v>
      </c>
      <c r="E145" s="324">
        <f>'6-x'!M661/41.868</f>
        <v>59.686328460877043</v>
      </c>
      <c r="F145" s="324">
        <f>'6-x'!N661/41.868</f>
        <v>274.14596828126491</v>
      </c>
      <c r="G145" s="324">
        <f>'6-x'!O661/41.868</f>
        <v>726.95030094582967</v>
      </c>
      <c r="H145" s="279">
        <f>'6-x'!P661/41.868</f>
        <v>1125.8148586032291</v>
      </c>
      <c r="I145" s="284"/>
      <c r="J145" s="177"/>
      <c r="K145" s="177"/>
      <c r="L145" s="177"/>
      <c r="M145" s="177"/>
      <c r="N145" s="177"/>
      <c r="O145" s="177"/>
      <c r="P145" s="177"/>
    </row>
    <row r="146" spans="1:16">
      <c r="A146" s="257" t="s">
        <v>19</v>
      </c>
      <c r="B146" s="324">
        <f>'6-x'!J662/41.868</f>
        <v>0</v>
      </c>
      <c r="C146" s="324">
        <f>'6-x'!K662/41.868</f>
        <v>99.466695328174254</v>
      </c>
      <c r="D146" s="324">
        <f>'6-x'!L662/41.868</f>
        <v>0</v>
      </c>
      <c r="E146" s="324">
        <f>'6-x'!M662/41.868</f>
        <v>1.6998041463647653</v>
      </c>
      <c r="F146" s="324">
        <f>'6-x'!N662/41.868</f>
        <v>4.9997014426292159</v>
      </c>
      <c r="G146" s="324">
        <f>'6-x'!O662/41.868</f>
        <v>10.260748065348237</v>
      </c>
      <c r="H146" s="279">
        <f>'6-x'!P662/41.868</f>
        <v>116.42694898251648</v>
      </c>
      <c r="I146" s="284"/>
      <c r="J146" s="177"/>
      <c r="K146" s="177"/>
      <c r="L146" s="177"/>
      <c r="M146" s="177"/>
      <c r="N146" s="177"/>
      <c r="O146" s="177"/>
      <c r="P146" s="177"/>
    </row>
    <row r="147" spans="1:16">
      <c r="A147" s="257" t="s">
        <v>20</v>
      </c>
      <c r="B147" s="324">
        <f>'6-x'!J663/41.868</f>
        <v>7993.362226043756</v>
      </c>
      <c r="C147" s="324">
        <f>'6-x'!K663/41.868</f>
        <v>79.811994840928648</v>
      </c>
      <c r="D147" s="324">
        <f>'6-x'!L663/41.868</f>
        <v>0</v>
      </c>
      <c r="E147" s="324">
        <f>'6-x'!M663/41.868</f>
        <v>408.84035540269417</v>
      </c>
      <c r="F147" s="324">
        <f>'6-x'!N663/41.868</f>
        <v>1505.9476067641158</v>
      </c>
      <c r="G147" s="324">
        <f>'6-x'!O663/41.868</f>
        <v>1.8548294640298075</v>
      </c>
      <c r="H147" s="279">
        <f>'6-x'!P663/41.868</f>
        <v>9989.8170125155229</v>
      </c>
      <c r="I147" s="284"/>
      <c r="J147" s="177"/>
      <c r="K147" s="177"/>
      <c r="L147" s="177"/>
      <c r="M147" s="177"/>
      <c r="N147" s="177"/>
      <c r="O147" s="177"/>
      <c r="P147" s="177"/>
    </row>
    <row r="148" spans="1:16">
      <c r="A148" s="257" t="s">
        <v>21</v>
      </c>
      <c r="B148" s="324">
        <f>'6-x'!J664/41.868</f>
        <v>0</v>
      </c>
      <c r="C148" s="324">
        <f>'6-x'!K664/41.868</f>
        <v>7094.059211856309</v>
      </c>
      <c r="D148" s="324">
        <f>'6-x'!L664/41.868</f>
        <v>0</v>
      </c>
      <c r="E148" s="324">
        <f>'6-x'!M664/41.868</f>
        <v>0.70875131365243138</v>
      </c>
      <c r="F148" s="324">
        <f>'6-x'!N664/41.868</f>
        <v>392.8839782172542</v>
      </c>
      <c r="G148" s="324">
        <f>'6-x'!O664/41.868</f>
        <v>2.3077529378045281</v>
      </c>
      <c r="H148" s="279">
        <f>'6-x'!P664/41.868</f>
        <v>7489.9596943250208</v>
      </c>
      <c r="I148" s="284"/>
      <c r="J148" s="177"/>
      <c r="K148" s="177"/>
      <c r="L148" s="177"/>
      <c r="M148" s="177"/>
      <c r="N148" s="177"/>
      <c r="O148" s="177"/>
      <c r="P148" s="177"/>
    </row>
    <row r="149" spans="1:16">
      <c r="A149" s="257" t="s">
        <v>23</v>
      </c>
      <c r="B149" s="324">
        <f>'6-x'!J665/41.868</f>
        <v>0</v>
      </c>
      <c r="C149" s="324">
        <f>'6-x'!K665/41.868</f>
        <v>0</v>
      </c>
      <c r="D149" s="324">
        <f>'6-x'!L665/41.868</f>
        <v>0</v>
      </c>
      <c r="E149" s="324">
        <f>'6-x'!M665/41.868</f>
        <v>0</v>
      </c>
      <c r="F149" s="324">
        <f>'6-x'!N665/41.868</f>
        <v>0</v>
      </c>
      <c r="G149" s="324">
        <f>'6-x'!O665/41.868</f>
        <v>0</v>
      </c>
      <c r="H149" s="279">
        <f>'6-x'!P665/41.868</f>
        <v>0</v>
      </c>
      <c r="I149" s="284"/>
      <c r="J149" s="177"/>
      <c r="K149" s="177"/>
      <c r="L149" s="177"/>
      <c r="M149" s="177"/>
      <c r="N149" s="177"/>
      <c r="O149" s="177"/>
      <c r="P149" s="177"/>
    </row>
    <row r="150" spans="1:16">
      <c r="A150" s="258" t="s">
        <v>287</v>
      </c>
      <c r="B150" s="279">
        <f>'6-x'!J666/41.868</f>
        <v>14.710031527658353</v>
      </c>
      <c r="C150" s="279">
        <f>'6-x'!K666/41.868</f>
        <v>11861.539105187732</v>
      </c>
      <c r="D150" s="279">
        <f>'6-x'!L666/41.868</f>
        <v>571.71747157733819</v>
      </c>
      <c r="E150" s="279">
        <f>'6-x'!M666/41.868</f>
        <v>330.32577386070506</v>
      </c>
      <c r="F150" s="279">
        <f>'6-x'!N666/41.868</f>
        <v>2603.1949579631223</v>
      </c>
      <c r="G150" s="279">
        <f>'6-x'!O666/41.868</f>
        <v>874.08879335053007</v>
      </c>
      <c r="H150" s="279">
        <f>'6-x'!P666/41.868</f>
        <v>16255.576133467088</v>
      </c>
      <c r="I150" s="284"/>
      <c r="J150" s="177"/>
      <c r="K150" s="177"/>
      <c r="L150" s="177"/>
      <c r="M150" s="177"/>
      <c r="N150" s="177"/>
      <c r="O150" s="177"/>
      <c r="P150" s="177"/>
    </row>
    <row r="151" spans="1:16">
      <c r="A151" s="257" t="s">
        <v>25</v>
      </c>
      <c r="B151" s="324">
        <f>'6-x'!J667/41.868</f>
        <v>0</v>
      </c>
      <c r="C151" s="324">
        <f>'6-x'!K667/41.868</f>
        <v>1085.6092958822967</v>
      </c>
      <c r="D151" s="324">
        <f>'6-x'!L667/41.868</f>
        <v>24.001996751695803</v>
      </c>
      <c r="E151" s="324">
        <f>'6-x'!M667/41.868</f>
        <v>4.660666857743383</v>
      </c>
      <c r="F151" s="324">
        <f>'6-x'!N667/41.868</f>
        <v>316.58817712811691</v>
      </c>
      <c r="G151" s="324">
        <f>'6-x'!O667/41.868</f>
        <v>867.6073086844367</v>
      </c>
      <c r="H151" s="279">
        <f>'6-x'!P667/41.868</f>
        <v>2298.4674453042894</v>
      </c>
      <c r="I151" s="284"/>
      <c r="J151" s="177"/>
      <c r="K151" s="177"/>
      <c r="L151" s="177"/>
      <c r="M151" s="177"/>
      <c r="N151" s="177"/>
      <c r="O151" s="177"/>
      <c r="P151" s="177"/>
    </row>
    <row r="152" spans="1:16">
      <c r="A152" s="257" t="s">
        <v>26</v>
      </c>
      <c r="B152" s="324">
        <f>'6-x'!J668/41.868</f>
        <v>0</v>
      </c>
      <c r="C152" s="324">
        <f>'6-x'!K668/41.868</f>
        <v>644.1219260533104</v>
      </c>
      <c r="D152" s="324">
        <f>'6-x'!L668/41.868</f>
        <v>1.1638960542657879E-2</v>
      </c>
      <c r="E152" s="324">
        <f>'6-x'!M668/41.868</f>
        <v>49.022038310881825</v>
      </c>
      <c r="F152" s="324">
        <f>'6-x'!N668/41.868</f>
        <v>2.7150090761440717</v>
      </c>
      <c r="G152" s="324">
        <f>'6-x'!O668/41.868</f>
        <v>0.82111636572083679</v>
      </c>
      <c r="H152" s="279">
        <f>'6-x'!P668/41.868</f>
        <v>696.69172876659979</v>
      </c>
      <c r="I152" s="284"/>
      <c r="J152" s="177"/>
      <c r="K152" s="177"/>
      <c r="L152" s="177"/>
      <c r="M152" s="177"/>
      <c r="N152" s="177"/>
      <c r="O152" s="177"/>
      <c r="P152" s="177"/>
    </row>
    <row r="153" spans="1:16">
      <c r="A153" s="257" t="s">
        <v>27</v>
      </c>
      <c r="B153" s="324">
        <f>'6-x'!J669/41.868</f>
        <v>13.366074328843029</v>
      </c>
      <c r="C153" s="324">
        <f>'6-x'!K669/41.868</f>
        <v>9903.2565648227755</v>
      </c>
      <c r="D153" s="324">
        <f>'6-x'!L669/41.868</f>
        <v>271.11936562529854</v>
      </c>
      <c r="E153" s="324">
        <f>'6-x'!M669/41.868</f>
        <v>234.003116938951</v>
      </c>
      <c r="F153" s="324">
        <f>'6-x'!N669/41.868</f>
        <v>1132.9935965415114</v>
      </c>
      <c r="G153" s="324">
        <f>'6-x'!O669/41.868</f>
        <v>4.814882487818859</v>
      </c>
      <c r="H153" s="279">
        <f>'6-x'!P669/41.868</f>
        <v>11559.553600745199</v>
      </c>
      <c r="I153" s="284"/>
      <c r="J153" s="177"/>
      <c r="K153" s="177"/>
      <c r="L153" s="177"/>
      <c r="M153" s="177"/>
      <c r="N153" s="177"/>
      <c r="O153" s="177"/>
      <c r="P153" s="177"/>
    </row>
    <row r="154" spans="1:16">
      <c r="A154" s="257" t="s">
        <v>28</v>
      </c>
      <c r="B154" s="324">
        <f>'6-x'!J670/41.868</f>
        <v>1.3439571988153243</v>
      </c>
      <c r="C154" s="324">
        <f>'6-x'!K670/41.868</f>
        <v>88.280925766695319</v>
      </c>
      <c r="D154" s="324">
        <f>'6-x'!L670/41.868</f>
        <v>0</v>
      </c>
      <c r="E154" s="324">
        <f>'6-x'!M670/41.868</f>
        <v>13.845490589471671</v>
      </c>
      <c r="F154" s="324">
        <f>'6-x'!N670/41.868</f>
        <v>91.297334479793633</v>
      </c>
      <c r="G154" s="324">
        <f>'6-x'!O670/41.868</f>
        <v>1.1889748734116749E-2</v>
      </c>
      <c r="H154" s="279">
        <f>'6-x'!P670/41.868</f>
        <v>194.77959778351004</v>
      </c>
      <c r="I154" s="284"/>
      <c r="J154" s="177"/>
      <c r="K154" s="177"/>
      <c r="L154" s="177"/>
      <c r="M154" s="177"/>
      <c r="N154" s="177"/>
      <c r="O154" s="177"/>
      <c r="P154" s="177"/>
    </row>
    <row r="155" spans="1:16">
      <c r="A155" s="257" t="s">
        <v>29</v>
      </c>
      <c r="B155" s="324">
        <f>'6-x'!J671/41.868</f>
        <v>0</v>
      </c>
      <c r="C155" s="324">
        <f>'6-x'!K671/41.868</f>
        <v>140.27039266265402</v>
      </c>
      <c r="D155" s="324">
        <f>'6-x'!L671/41.868</f>
        <v>276.58447023980119</v>
      </c>
      <c r="E155" s="324">
        <f>'6-x'!M671/41.868</f>
        <v>28.794461163657203</v>
      </c>
      <c r="F155" s="324">
        <f>'6-x'!N671/41.868</f>
        <v>1059.6008407375562</v>
      </c>
      <c r="G155" s="324">
        <f>'6-x'!O671/41.868</f>
        <v>0.83359606381962359</v>
      </c>
      <c r="H155" s="279">
        <f>'6-x'!P671/41.868</f>
        <v>1506.0837608674883</v>
      </c>
      <c r="I155" s="284"/>
      <c r="J155" s="177"/>
      <c r="K155" s="177"/>
      <c r="L155" s="177"/>
      <c r="M155" s="177"/>
      <c r="N155" s="177"/>
      <c r="O155" s="177"/>
      <c r="P155" s="177"/>
    </row>
    <row r="156" spans="1:16">
      <c r="A156" s="368" t="s">
        <v>10</v>
      </c>
      <c r="B156" s="370">
        <f>'6-x'!J672/41.868</f>
        <v>8008.0722575714135</v>
      </c>
      <c r="C156" s="370">
        <f>'6-x'!K672/41.868</f>
        <v>19192.42700243623</v>
      </c>
      <c r="D156" s="370">
        <f>'6-x'!L672/41.868</f>
        <v>579.19973726951366</v>
      </c>
      <c r="E156" s="370">
        <f>'6-x'!M672/41.868</f>
        <v>801.26101318429346</v>
      </c>
      <c r="F156" s="370">
        <f>'6-x'!N672/41.868</f>
        <v>4781.1722126683871</v>
      </c>
      <c r="G156" s="370">
        <f>'6-x'!O672/41.868</f>
        <v>1615.4624247635422</v>
      </c>
      <c r="H156" s="370">
        <f>'6-x'!P672/41.868</f>
        <v>34977.594647893377</v>
      </c>
      <c r="I156" s="284"/>
      <c r="J156" s="177"/>
      <c r="K156" s="177"/>
      <c r="L156" s="177"/>
      <c r="M156" s="177"/>
      <c r="N156" s="177"/>
      <c r="O156" s="177"/>
      <c r="P156" s="177"/>
    </row>
    <row r="159" spans="1:16" ht="14.7" customHeight="1">
      <c r="A159" s="283">
        <v>2015</v>
      </c>
      <c r="B159" s="896" t="s">
        <v>200</v>
      </c>
      <c r="C159" s="897"/>
      <c r="D159" s="897"/>
      <c r="E159" s="897"/>
      <c r="F159" s="897"/>
      <c r="G159" s="897"/>
      <c r="H159" s="898"/>
    </row>
    <row r="160" spans="1:16">
      <c r="A160" s="258" t="s">
        <v>286</v>
      </c>
      <c r="B160" s="279">
        <f>'6-x'!J745/41.868</f>
        <v>9793.8627116795651</v>
      </c>
      <c r="C160" s="279">
        <f>'6-x'!K745/41.868</f>
        <v>6231.9139079965598</v>
      </c>
      <c r="D160" s="279">
        <f>'6-x'!L745/41.868</f>
        <v>6.9695853635234553</v>
      </c>
      <c r="E160" s="279">
        <f>'6-x'!M745/41.868</f>
        <v>777.03730056367624</v>
      </c>
      <c r="F160" s="279">
        <f>'6-x'!N745/41.868</f>
        <v>2128.6107967899111</v>
      </c>
      <c r="G160" s="279">
        <f>'6-x'!O745/41.868</f>
        <v>750.42613929492688</v>
      </c>
      <c r="H160" s="279">
        <f>'6-x'!P745/41.868</f>
        <v>19688.820441688164</v>
      </c>
      <c r="I160" s="286"/>
      <c r="L160" s="56"/>
      <c r="O160" s="56"/>
      <c r="P160" s="56"/>
    </row>
    <row r="161" spans="1:9">
      <c r="A161" s="257" t="s">
        <v>18</v>
      </c>
      <c r="B161" s="324">
        <f>'6-x'!J746/41.868</f>
        <v>0</v>
      </c>
      <c r="C161" s="324">
        <f>'6-x'!K746/41.868</f>
        <v>52.358603229196525</v>
      </c>
      <c r="D161" s="324">
        <f>'6-x'!L746/41.868</f>
        <v>6.9695853635234553</v>
      </c>
      <c r="E161" s="324">
        <f>'6-x'!M746/41.868</f>
        <v>60.931575427534156</v>
      </c>
      <c r="F161" s="324">
        <f>'6-x'!N746/41.868</f>
        <v>272.73417884780736</v>
      </c>
      <c r="G161" s="324">
        <f>'6-x'!O746/41.868</f>
        <v>736.03073230151904</v>
      </c>
      <c r="H161" s="279">
        <f>'6-x'!P746/41.868</f>
        <v>1129.0246751695806</v>
      </c>
      <c r="I161" s="285"/>
    </row>
    <row r="162" spans="1:9">
      <c r="A162" s="257" t="s">
        <v>19</v>
      </c>
      <c r="B162" s="324">
        <f>'6-x'!J747/41.868</f>
        <v>0</v>
      </c>
      <c r="C162" s="324">
        <f>'6-x'!K747/41.868</f>
        <v>593.53445590904744</v>
      </c>
      <c r="D162" s="324">
        <f>'6-x'!L747/41.868</f>
        <v>0</v>
      </c>
      <c r="E162" s="324">
        <f>'6-x'!M747/41.868</f>
        <v>2.0116365720836917</v>
      </c>
      <c r="F162" s="324">
        <f>'6-x'!N747/41.868</f>
        <v>5.4870593293207222</v>
      </c>
      <c r="G162" s="324">
        <f>'6-x'!O747/41.868</f>
        <v>9.8895528804815136</v>
      </c>
      <c r="H162" s="279">
        <f>'6-x'!P747/41.868</f>
        <v>610.9227046909333</v>
      </c>
      <c r="I162" s="285"/>
    </row>
    <row r="163" spans="1:9">
      <c r="A163" s="257" t="s">
        <v>20</v>
      </c>
      <c r="B163" s="324">
        <f>'6-x'!J748/41.868</f>
        <v>9793.8627116795651</v>
      </c>
      <c r="C163" s="324">
        <f>'6-x'!K748/41.868</f>
        <v>136.46865147606761</v>
      </c>
      <c r="D163" s="324">
        <f>'6-x'!L748/41.868</f>
        <v>0</v>
      </c>
      <c r="E163" s="324">
        <f>'6-x'!M748/41.868</f>
        <v>712.18725518295594</v>
      </c>
      <c r="F163" s="324">
        <f>'6-x'!N748/41.868</f>
        <v>1441.5910719403842</v>
      </c>
      <c r="G163" s="324">
        <f>'6-x'!O748/41.868</f>
        <v>1.8736959014044134</v>
      </c>
      <c r="H163" s="279">
        <f>'6-x'!P748/41.868</f>
        <v>12085.98338618038</v>
      </c>
      <c r="I163" s="285"/>
    </row>
    <row r="164" spans="1:9">
      <c r="A164" s="257" t="s">
        <v>21</v>
      </c>
      <c r="B164" s="324">
        <f>'6-x'!J749/41.868</f>
        <v>0</v>
      </c>
      <c r="C164" s="324">
        <f>'6-x'!K749/41.868</f>
        <v>5448.7227285755225</v>
      </c>
      <c r="D164" s="324">
        <f>'6-x'!L749/41.868</f>
        <v>0</v>
      </c>
      <c r="E164" s="324">
        <f>'6-x'!M749/41.868</f>
        <v>1.9068333811025127</v>
      </c>
      <c r="F164" s="324">
        <f>'6-x'!N749/41.868</f>
        <v>408.79848667239895</v>
      </c>
      <c r="G164" s="324">
        <f>'6-x'!O749/41.868</f>
        <v>2.6321582115219262</v>
      </c>
      <c r="H164" s="279">
        <f>'6-x'!P749/41.868</f>
        <v>5862.0602068405451</v>
      </c>
      <c r="I164" s="285"/>
    </row>
    <row r="165" spans="1:9">
      <c r="A165" s="257" t="s">
        <v>23</v>
      </c>
      <c r="B165" s="324">
        <f>'6-x'!J750/41.868</f>
        <v>0</v>
      </c>
      <c r="C165" s="324">
        <f>'6-x'!K750/41.868</f>
        <v>0.8294688067259004</v>
      </c>
      <c r="D165" s="324">
        <f>'6-x'!L750/41.868</f>
        <v>0</v>
      </c>
      <c r="E165" s="324">
        <f>'6-x'!M750/41.868</f>
        <v>0</v>
      </c>
      <c r="F165" s="324">
        <f>'6-x'!N750/41.868</f>
        <v>0</v>
      </c>
      <c r="G165" s="324">
        <f>'6-x'!O750/41.868</f>
        <v>0</v>
      </c>
      <c r="H165" s="279">
        <f>'6-x'!P750/41.868</f>
        <v>0.8294688067259004</v>
      </c>
      <c r="I165" s="285"/>
    </row>
    <row r="166" spans="1:9">
      <c r="A166" s="258" t="s">
        <v>287</v>
      </c>
      <c r="B166" s="279">
        <f>'6-x'!J751/41.868</f>
        <v>15.193016145982613</v>
      </c>
      <c r="C166" s="279">
        <f>'6-x'!K751/41.868</f>
        <v>10652.985010031527</v>
      </c>
      <c r="D166" s="279">
        <f>'6-x'!L751/41.868</f>
        <v>454.55384303047674</v>
      </c>
      <c r="E166" s="279">
        <f>'6-x'!M751/41.868</f>
        <v>371.97418314703344</v>
      </c>
      <c r="F166" s="279">
        <f>'6-x'!N751/41.868</f>
        <v>2532.7774027897203</v>
      </c>
      <c r="G166" s="279">
        <f>'6-x'!O751/41.868</f>
        <v>861.19666332282407</v>
      </c>
      <c r="H166" s="279">
        <f>'6-x'!P751/41.868</f>
        <v>14888.680118467564</v>
      </c>
      <c r="I166" s="285"/>
    </row>
    <row r="167" spans="1:9">
      <c r="A167" s="257" t="s">
        <v>25</v>
      </c>
      <c r="B167" s="324">
        <f>'6-x'!J752/41.868</f>
        <v>0</v>
      </c>
      <c r="C167" s="324">
        <f>'6-x'!K752/41.868</f>
        <v>974.70308588898433</v>
      </c>
      <c r="D167" s="324">
        <f>'6-x'!L752/41.868</f>
        <v>23.390305245055885</v>
      </c>
      <c r="E167" s="324">
        <f>'6-x'!M752/41.868</f>
        <v>5.0877901977644022</v>
      </c>
      <c r="F167" s="324">
        <f>'6-x'!N752/41.868</f>
        <v>337.75623387790193</v>
      </c>
      <c r="G167" s="324">
        <f>'6-x'!O752/41.868</f>
        <v>854.84124390942952</v>
      </c>
      <c r="H167" s="279">
        <f>'6-x'!P752/41.868</f>
        <v>2195.7786591191361</v>
      </c>
      <c r="I167" s="285"/>
    </row>
    <row r="168" spans="1:9">
      <c r="A168" s="257" t="s">
        <v>26</v>
      </c>
      <c r="B168" s="324">
        <f>'6-x'!J753/41.868</f>
        <v>0</v>
      </c>
      <c r="C168" s="324">
        <f>'6-x'!K753/41.868</f>
        <v>606.57533199579632</v>
      </c>
      <c r="D168" s="324">
        <f>'6-x'!L753/41.868</f>
        <v>2.240852202159167E-2</v>
      </c>
      <c r="E168" s="324">
        <f>'6-x'!M753/41.868</f>
        <v>48.608436037068884</v>
      </c>
      <c r="F168" s="324">
        <f>'6-x'!N753/41.868</f>
        <v>2.6960351581159832</v>
      </c>
      <c r="G168" s="324">
        <f>'6-x'!O753/41.868</f>
        <v>0.77834623101175127</v>
      </c>
      <c r="H168" s="279">
        <f>'6-x'!P753/41.868</f>
        <v>658.68055794401448</v>
      </c>
      <c r="I168" s="285"/>
    </row>
    <row r="169" spans="1:9">
      <c r="A169" s="257" t="s">
        <v>27</v>
      </c>
      <c r="B169" s="324">
        <f>'6-x'!J754/41.868</f>
        <v>13.76506162224133</v>
      </c>
      <c r="C169" s="324">
        <f>'6-x'!K754/41.868</f>
        <v>8793.6376468902254</v>
      </c>
      <c r="D169" s="324">
        <f>'6-x'!L754/41.868</f>
        <v>176.85781026081969</v>
      </c>
      <c r="E169" s="324">
        <f>'6-x'!M754/41.868</f>
        <v>227.18009458297504</v>
      </c>
      <c r="F169" s="324">
        <f>'6-x'!N754/41.868</f>
        <v>1065.2962525078817</v>
      </c>
      <c r="G169" s="324">
        <f>'6-x'!O754/41.868</f>
        <v>5.0172470621954712</v>
      </c>
      <c r="H169" s="279">
        <f>'6-x'!P754/41.868</f>
        <v>10281.754112926337</v>
      </c>
      <c r="I169" s="285"/>
    </row>
    <row r="170" spans="1:9">
      <c r="A170" s="257" t="s">
        <v>28</v>
      </c>
      <c r="B170" s="324">
        <f>'6-x'!J755/41.868</f>
        <v>1.4279545237412821</v>
      </c>
      <c r="C170" s="324">
        <f>'6-x'!K755/41.868</f>
        <v>90.499627400401238</v>
      </c>
      <c r="D170" s="324">
        <f>'6-x'!L755/41.868</f>
        <v>0</v>
      </c>
      <c r="E170" s="324">
        <f>'6-x'!M755/41.868</f>
        <v>19.816208082545138</v>
      </c>
      <c r="F170" s="324">
        <f>'6-x'!N755/41.868</f>
        <v>84.877500716537696</v>
      </c>
      <c r="G170" s="324">
        <f>'6-x'!O755/41.868</f>
        <v>6.8042419031241044E-2</v>
      </c>
      <c r="H170" s="279">
        <f>'6-x'!P755/41.868</f>
        <v>196.6893331422566</v>
      </c>
      <c r="I170" s="285"/>
    </row>
    <row r="171" spans="1:9">
      <c r="A171" s="257" t="s">
        <v>29</v>
      </c>
      <c r="B171" s="324">
        <f>'6-x'!J756/41.868</f>
        <v>0</v>
      </c>
      <c r="C171" s="324">
        <f>'6-x'!K756/41.868</f>
        <v>187.5693178561192</v>
      </c>
      <c r="D171" s="324">
        <f>'6-x'!L756/41.868</f>
        <v>254.28331900257953</v>
      </c>
      <c r="E171" s="324">
        <f>'6-x'!M756/41.868</f>
        <v>71.281654246680034</v>
      </c>
      <c r="F171" s="324">
        <f>'6-x'!N756/41.868</f>
        <v>1042.1513805292825</v>
      </c>
      <c r="G171" s="324">
        <f>'6-x'!O756/41.868</f>
        <v>0.49178370115601411</v>
      </c>
      <c r="H171" s="279">
        <f>'6-x'!P756/41.868</f>
        <v>1555.7774553358172</v>
      </c>
      <c r="I171" s="285"/>
    </row>
    <row r="172" spans="1:9">
      <c r="A172" s="368" t="s">
        <v>10</v>
      </c>
      <c r="B172" s="370">
        <f>'6-x'!J757/41.868</f>
        <v>9809.0557278255474</v>
      </c>
      <c r="C172" s="370">
        <f>'6-x'!K757/41.868</f>
        <v>16884.898918028088</v>
      </c>
      <c r="D172" s="370">
        <f>'6-x'!L757/41.868</f>
        <v>461.52342839400018</v>
      </c>
      <c r="E172" s="370">
        <f>'6-x'!M757/41.868</f>
        <v>1149.0114837107099</v>
      </c>
      <c r="F172" s="370">
        <f>'6-x'!N757/41.868</f>
        <v>4661.388199579631</v>
      </c>
      <c r="G172" s="370">
        <f>'6-x'!O757/41.868</f>
        <v>1611.6228026177509</v>
      </c>
      <c r="H172" s="370">
        <f>'6-x'!P757/41.868</f>
        <v>34577.500560155728</v>
      </c>
      <c r="I172" s="285"/>
    </row>
    <row r="175" spans="1:9" ht="14.7" customHeight="1">
      <c r="A175" s="283">
        <v>2010</v>
      </c>
      <c r="B175" s="896" t="s">
        <v>200</v>
      </c>
      <c r="C175" s="897"/>
      <c r="D175" s="897"/>
      <c r="E175" s="897"/>
      <c r="F175" s="897"/>
      <c r="G175" s="897"/>
      <c r="H175" s="898"/>
    </row>
    <row r="176" spans="1:9">
      <c r="A176" s="258" t="s">
        <v>286</v>
      </c>
      <c r="B176" s="279">
        <f>'6-x'!J829/41.868</f>
        <v>8985.8021016050443</v>
      </c>
      <c r="C176" s="279">
        <f>'6-x'!K829/41.868</f>
        <v>11131.64924942677</v>
      </c>
      <c r="D176" s="279">
        <f>'6-x'!L829/41.868</f>
        <v>223.65903502913915</v>
      </c>
      <c r="E176" s="279">
        <f>'6-x'!M829/41.868</f>
        <v>1248.4092392906277</v>
      </c>
      <c r="F176" s="279">
        <f>'6-x'!N829/41.868</f>
        <v>1799.7397741697719</v>
      </c>
      <c r="G176" s="279">
        <f>'6-x'!O829/41.868</f>
        <v>374.87330359701917</v>
      </c>
      <c r="H176" s="279">
        <f>'6-x'!P829/41.868</f>
        <v>23764.132703118368</v>
      </c>
      <c r="I176" s="284"/>
    </row>
    <row r="177" spans="1:9">
      <c r="A177" s="257" t="s">
        <v>18</v>
      </c>
      <c r="B177" s="324">
        <f>'6-x'!J830/41.868</f>
        <v>0</v>
      </c>
      <c r="C177" s="324">
        <f>'6-x'!K830/41.868</f>
        <v>36.734924047004867</v>
      </c>
      <c r="D177" s="324">
        <f>'6-x'!L830/41.868</f>
        <v>6.797699999999999</v>
      </c>
      <c r="E177" s="324">
        <f>'6-x'!M830/41.868</f>
        <v>63.036449999999995</v>
      </c>
      <c r="F177" s="324">
        <f>'6-x'!N830/41.868</f>
        <v>227.0292622050253</v>
      </c>
      <c r="G177" s="324">
        <f>'6-x'!O830/41.868</f>
        <v>371.6597753654342</v>
      </c>
      <c r="H177" s="279">
        <f>'6-x'!P830/41.868</f>
        <v>705.25811161746435</v>
      </c>
      <c r="I177" s="284"/>
    </row>
    <row r="178" spans="1:9">
      <c r="A178" s="257" t="s">
        <v>19</v>
      </c>
      <c r="B178" s="324">
        <f>'6-x'!J831/41.868</f>
        <v>0</v>
      </c>
      <c r="C178" s="324">
        <f>'6-x'!K831/41.868</f>
        <v>86.401492786853922</v>
      </c>
      <c r="D178" s="324">
        <f>'6-x'!L831/41.868</f>
        <v>0</v>
      </c>
      <c r="E178" s="324">
        <f>'6-x'!M831/41.868</f>
        <v>13.765149999999998</v>
      </c>
      <c r="F178" s="324">
        <f>'6-x'!N831/41.868</f>
        <v>8.7924851676698204</v>
      </c>
      <c r="G178" s="324">
        <f>'6-x'!O831/41.868</f>
        <v>3.2135282315849807</v>
      </c>
      <c r="H178" s="279">
        <f>'6-x'!P831/41.868</f>
        <v>112.17265618610872</v>
      </c>
      <c r="I178" s="284"/>
    </row>
    <row r="179" spans="1:9">
      <c r="A179" s="257" t="s">
        <v>20</v>
      </c>
      <c r="B179" s="324">
        <f>'6-x'!J832/41.868</f>
        <v>8985.8021016050443</v>
      </c>
      <c r="C179" s="324">
        <f>'6-x'!K832/41.868</f>
        <v>838.95583799082829</v>
      </c>
      <c r="D179" s="324">
        <f>'6-x'!L832/41.868</f>
        <v>196.86164552880479</v>
      </c>
      <c r="E179" s="324">
        <f>'6-x'!M832/41.868</f>
        <v>1132.4247742906277</v>
      </c>
      <c r="F179" s="324">
        <f>'6-x'!N832/41.868</f>
        <v>1351.2330717970765</v>
      </c>
      <c r="G179" s="324">
        <f>'6-x'!O832/41.868</f>
        <v>0</v>
      </c>
      <c r="H179" s="279">
        <f>'6-x'!P832/41.868</f>
        <v>12505.27743121238</v>
      </c>
      <c r="I179" s="284"/>
    </row>
    <row r="180" spans="1:9">
      <c r="A180" s="257" t="s">
        <v>21</v>
      </c>
      <c r="B180" s="324">
        <f>'6-x'!J833/41.868</f>
        <v>0</v>
      </c>
      <c r="C180" s="324">
        <f>'6-x'!K833/41.868</f>
        <v>9986.6293529664654</v>
      </c>
      <c r="D180" s="324">
        <f>'6-x'!L833/41.868</f>
        <v>19.999689500334384</v>
      </c>
      <c r="E180" s="324">
        <f>'6-x'!M833/41.868</f>
        <v>1.4935799999999999</v>
      </c>
      <c r="F180" s="324">
        <f>'6-x'!N833/41.868</f>
        <v>212.68495499999997</v>
      </c>
      <c r="G180" s="324">
        <f>'6-x'!O833/41.868</f>
        <v>0</v>
      </c>
      <c r="H180" s="279">
        <f>'6-x'!P833/41.868</f>
        <v>10220.8075774668</v>
      </c>
      <c r="I180" s="284"/>
    </row>
    <row r="181" spans="1:9">
      <c r="A181" s="257" t="s">
        <v>23</v>
      </c>
      <c r="B181" s="324">
        <f>'6-x'!J834/41.868</f>
        <v>0</v>
      </c>
      <c r="C181" s="324">
        <f>'6-x'!K834/41.868</f>
        <v>182.92764163561668</v>
      </c>
      <c r="D181" s="324">
        <f>'6-x'!L834/41.868</f>
        <v>0</v>
      </c>
      <c r="E181" s="324">
        <f>'6-x'!M834/41.868</f>
        <v>37.689284999999991</v>
      </c>
      <c r="F181" s="324">
        <f>'6-x'!N834/41.868</f>
        <v>0</v>
      </c>
      <c r="G181" s="324">
        <f>'6-x'!O834/41.868</f>
        <v>0</v>
      </c>
      <c r="H181" s="279">
        <f>'6-x'!P834/41.868</f>
        <v>220.61692663561666</v>
      </c>
      <c r="I181" s="284"/>
    </row>
    <row r="182" spans="1:9">
      <c r="A182" s="258" t="s">
        <v>287</v>
      </c>
      <c r="B182" s="279">
        <f>'6-x'!J835/41.868</f>
        <v>19.20025772523168</v>
      </c>
      <c r="C182" s="279">
        <f>'6-x'!K835/41.868</f>
        <v>13486.001305334861</v>
      </c>
      <c r="D182" s="279">
        <f>'6-x'!L835/41.868</f>
        <v>799.62275999999997</v>
      </c>
      <c r="E182" s="279">
        <f>'6-x'!M835/41.868</f>
        <v>903.21907999999985</v>
      </c>
      <c r="F182" s="279">
        <f>'6-x'!N835/41.868</f>
        <v>3248.9232000000002</v>
      </c>
      <c r="G182" s="279">
        <f>'6-x'!O835/41.868</f>
        <v>120.79989000000002</v>
      </c>
      <c r="H182" s="279">
        <f>'6-x'!P835/41.868</f>
        <v>18577.766493060095</v>
      </c>
      <c r="I182" s="284"/>
    </row>
    <row r="183" spans="1:9">
      <c r="A183" s="257" t="s">
        <v>25</v>
      </c>
      <c r="B183" s="324">
        <f>'6-x'!J836/41.868</f>
        <v>0</v>
      </c>
      <c r="C183" s="324">
        <f>'6-x'!K836/41.868</f>
        <v>605.49916999999994</v>
      </c>
      <c r="D183" s="324">
        <f>'6-x'!L836/41.868</f>
        <v>32.249199999999995</v>
      </c>
      <c r="E183" s="324">
        <f>'6-x'!M836/41.868</f>
        <v>10.395259999999997</v>
      </c>
      <c r="F183" s="324">
        <f>'6-x'!N836/41.868</f>
        <v>166.78309999999999</v>
      </c>
      <c r="G183" s="324">
        <f>'6-x'!O836/41.868</f>
        <v>93.555660000000003</v>
      </c>
      <c r="H183" s="279">
        <f>'6-x'!P836/41.868</f>
        <v>908.48239000000001</v>
      </c>
      <c r="I183" s="284"/>
    </row>
    <row r="184" spans="1:9">
      <c r="A184" s="257" t="s">
        <v>26</v>
      </c>
      <c r="B184" s="324">
        <f>'6-x'!J837/41.868</f>
        <v>0</v>
      </c>
      <c r="C184" s="324">
        <f>'6-x'!K837/41.868</f>
        <v>483.06503999999995</v>
      </c>
      <c r="D184" s="324">
        <f>'6-x'!L837/41.868</f>
        <v>3.4919999999999993E-2</v>
      </c>
      <c r="E184" s="324">
        <f>'6-x'!M837/41.868</f>
        <v>82.862959999999987</v>
      </c>
      <c r="F184" s="324">
        <f>'6-x'!N837/41.868</f>
        <v>0</v>
      </c>
      <c r="G184" s="324">
        <f>'6-x'!O837/41.868</f>
        <v>0.20110999999999998</v>
      </c>
      <c r="H184" s="279">
        <f>'6-x'!P837/41.868</f>
        <v>566.16403000000003</v>
      </c>
      <c r="I184" s="284"/>
    </row>
    <row r="185" spans="1:9">
      <c r="A185" s="257" t="s">
        <v>27</v>
      </c>
      <c r="B185" s="324">
        <f>'6-x'!J838/41.868</f>
        <v>17.28142772523168</v>
      </c>
      <c r="C185" s="324">
        <f>'6-x'!K838/41.868</f>
        <v>12024.673735334862</v>
      </c>
      <c r="D185" s="324">
        <f>'6-x'!L838/41.868</f>
        <v>735.76416999999992</v>
      </c>
      <c r="E185" s="324">
        <f>'6-x'!M838/41.868</f>
        <v>286.95024000000001</v>
      </c>
      <c r="F185" s="324">
        <f>'6-x'!N838/41.868</f>
        <v>1932.3767400000002</v>
      </c>
      <c r="G185" s="324">
        <f>'6-x'!O838/41.868</f>
        <v>0.40303999999999995</v>
      </c>
      <c r="H185" s="279">
        <f>'6-x'!P838/41.868</f>
        <v>14997.44935306009</v>
      </c>
      <c r="I185" s="284"/>
    </row>
    <row r="186" spans="1:9">
      <c r="A186" s="257" t="s">
        <v>28</v>
      </c>
      <c r="B186" s="324">
        <f>'6-x'!J839/41.868</f>
        <v>1.9188299999999998</v>
      </c>
      <c r="C186" s="324">
        <f>'6-x'!K839/41.868</f>
        <v>219.29199999999997</v>
      </c>
      <c r="D186" s="324">
        <f>'6-x'!L839/41.868</f>
        <v>0</v>
      </c>
      <c r="E186" s="324">
        <f>'6-x'!M839/41.868</f>
        <v>99.165039999999991</v>
      </c>
      <c r="F186" s="324">
        <f>'6-x'!N839/41.868</f>
        <v>101.38365999999999</v>
      </c>
      <c r="G186" s="324">
        <f>'6-x'!O839/41.868</f>
        <v>2.1049999999999995</v>
      </c>
      <c r="H186" s="279">
        <f>'6-x'!P839/41.868</f>
        <v>423.86453</v>
      </c>
      <c r="I186" s="284"/>
    </row>
    <row r="187" spans="1:9">
      <c r="A187" s="257" t="s">
        <v>29</v>
      </c>
      <c r="B187" s="324">
        <f>'6-x'!J840/41.868</f>
        <v>0</v>
      </c>
      <c r="C187" s="324">
        <f>'6-x'!K840/41.868</f>
        <v>153.47136</v>
      </c>
      <c r="D187" s="324">
        <f>'6-x'!L840/41.868</f>
        <v>31.574469999999998</v>
      </c>
      <c r="E187" s="324">
        <f>'6-x'!M840/41.868</f>
        <v>423.84557999999993</v>
      </c>
      <c r="F187" s="324">
        <f>'6-x'!N840/41.868</f>
        <v>1048.3797</v>
      </c>
      <c r="G187" s="324">
        <f>'6-x'!O840/41.868</f>
        <v>24.535080000000001</v>
      </c>
      <c r="H187" s="279">
        <f>'6-x'!P840/41.868</f>
        <v>1681.8061899999998</v>
      </c>
      <c r="I187" s="284"/>
    </row>
    <row r="188" spans="1:9">
      <c r="A188" s="368" t="s">
        <v>10</v>
      </c>
      <c r="B188" s="370">
        <f>'6-x'!J841/41.868</f>
        <v>9005.002359330274</v>
      </c>
      <c r="C188" s="370">
        <f>'6-x'!K841/41.868</f>
        <v>24617.650554761633</v>
      </c>
      <c r="D188" s="370">
        <f>'6-x'!L841/41.868</f>
        <v>1023.2817950291392</v>
      </c>
      <c r="E188" s="370">
        <f>'6-x'!M841/41.868</f>
        <v>2151.6283192906276</v>
      </c>
      <c r="F188" s="370">
        <f>'6-x'!N841/41.868</f>
        <v>5048.6629741697725</v>
      </c>
      <c r="G188" s="370">
        <f>'6-x'!O841/41.868</f>
        <v>495.67319359701918</v>
      </c>
      <c r="H188" s="370">
        <f>'6-x'!P841/41.868</f>
        <v>42341.899196178463</v>
      </c>
      <c r="I188" s="284"/>
    </row>
    <row r="191" spans="1:9" ht="14.7" customHeight="1">
      <c r="A191" s="283">
        <v>2005</v>
      </c>
      <c r="B191" s="896" t="s">
        <v>200</v>
      </c>
      <c r="C191" s="897"/>
      <c r="D191" s="897"/>
      <c r="E191" s="897"/>
      <c r="F191" s="897"/>
      <c r="G191" s="897"/>
      <c r="H191" s="898"/>
    </row>
    <row r="192" spans="1:9">
      <c r="A192" s="258" t="s">
        <v>286</v>
      </c>
      <c r="B192" s="279">
        <f>'6-x'!J912/41.868</f>
        <v>10069.62572</v>
      </c>
      <c r="C192" s="279">
        <f>'6-x'!K912/41.868</f>
        <v>14203.190889999996</v>
      </c>
      <c r="D192" s="279">
        <f>'6-x'!L912/41.868</f>
        <v>500.02253000000002</v>
      </c>
      <c r="E192" s="279">
        <f>'6-x'!M912/41.868</f>
        <v>6329.062899999999</v>
      </c>
      <c r="F192" s="279">
        <f>'6-x'!N912/41.868</f>
        <v>885.00139999999965</v>
      </c>
      <c r="G192" s="279">
        <f>'6-x'!O912/41.868</f>
        <v>269.78611999999998</v>
      </c>
      <c r="H192" s="279">
        <f>'6-x'!P912/41.868</f>
        <v>32256.689559999992</v>
      </c>
    </row>
    <row r="193" spans="1:8">
      <c r="A193" s="257" t="s">
        <v>18</v>
      </c>
      <c r="B193" s="324">
        <f>'6-x'!J913/41.868</f>
        <v>0</v>
      </c>
      <c r="C193" s="324">
        <f>'6-x'!K913/41.868</f>
        <v>60.510399999999983</v>
      </c>
      <c r="D193" s="324">
        <f>'6-x'!L913/41.868</f>
        <v>5.0952399999999995</v>
      </c>
      <c r="E193" s="324">
        <f>'6-x'!M913/41.868</f>
        <v>63.587429999999991</v>
      </c>
      <c r="F193" s="324">
        <f>'6-x'!N913/41.868</f>
        <v>27.752129999999998</v>
      </c>
      <c r="G193" s="324">
        <f>'6-x'!O913/41.868</f>
        <v>258.36863999999997</v>
      </c>
      <c r="H193" s="279">
        <f>'6-x'!P913/41.868</f>
        <v>415.31383999999991</v>
      </c>
    </row>
    <row r="194" spans="1:8">
      <c r="A194" s="257" t="s">
        <v>19</v>
      </c>
      <c r="B194" s="324">
        <f>'6-x'!J914/41.868</f>
        <v>0</v>
      </c>
      <c r="C194" s="324">
        <f>'6-x'!K914/41.868</f>
        <v>212.39711999999997</v>
      </c>
      <c r="D194" s="324">
        <f>'6-x'!L914/41.868</f>
        <v>0</v>
      </c>
      <c r="E194" s="324">
        <f>'6-x'!M914/41.868</f>
        <v>35.541569999999993</v>
      </c>
      <c r="F194" s="324">
        <f>'6-x'!N914/41.868</f>
        <v>0</v>
      </c>
      <c r="G194" s="324">
        <f>'6-x'!O914/41.868</f>
        <v>11.417479999999999</v>
      </c>
      <c r="H194" s="279">
        <f>'6-x'!P914/41.868</f>
        <v>259.35616999999996</v>
      </c>
    </row>
    <row r="195" spans="1:8">
      <c r="A195" s="257" t="s">
        <v>20</v>
      </c>
      <c r="B195" s="324">
        <f>'6-x'!J915/41.868</f>
        <v>10069.62572</v>
      </c>
      <c r="C195" s="324">
        <f>'6-x'!K915/41.868</f>
        <v>1342.2576799999997</v>
      </c>
      <c r="D195" s="324">
        <f>'6-x'!L915/41.868</f>
        <v>494.92729000000003</v>
      </c>
      <c r="E195" s="324">
        <f>'6-x'!M915/41.868</f>
        <v>5810.7659999999987</v>
      </c>
      <c r="F195" s="324">
        <f>'6-x'!N915/41.868</f>
        <v>849.53274999999985</v>
      </c>
      <c r="G195" s="324">
        <f>'6-x'!O915/41.868</f>
        <v>0</v>
      </c>
      <c r="H195" s="279">
        <f>'6-x'!P915/41.868</f>
        <v>18567.109439999997</v>
      </c>
    </row>
    <row r="196" spans="1:8">
      <c r="A196" s="257" t="s">
        <v>21</v>
      </c>
      <c r="B196" s="324">
        <f>'6-x'!J916/41.868</f>
        <v>0</v>
      </c>
      <c r="C196" s="324">
        <f>'6-x'!K916/41.868</f>
        <v>9218.2352499999979</v>
      </c>
      <c r="D196" s="324">
        <f>'6-x'!L916/41.868</f>
        <v>0</v>
      </c>
      <c r="E196" s="324">
        <f>'6-x'!M916/41.868</f>
        <v>1.12158</v>
      </c>
      <c r="F196" s="324">
        <f>'6-x'!N916/41.868</f>
        <v>7.7165199999999983</v>
      </c>
      <c r="G196" s="324">
        <f>'6-x'!O916/41.868</f>
        <v>0</v>
      </c>
      <c r="H196" s="279">
        <f>'6-x'!P916/41.868</f>
        <v>9227.0733499999988</v>
      </c>
    </row>
    <row r="197" spans="1:8">
      <c r="A197" s="257" t="s">
        <v>23</v>
      </c>
      <c r="B197" s="324">
        <f>'6-x'!J917/41.868</f>
        <v>0</v>
      </c>
      <c r="C197" s="324">
        <f>'6-x'!K917/41.868</f>
        <v>3369.7904399999989</v>
      </c>
      <c r="D197" s="324">
        <f>'6-x'!L917/41.868</f>
        <v>0</v>
      </c>
      <c r="E197" s="324">
        <f>'6-x'!M917/41.868</f>
        <v>418.04631999999998</v>
      </c>
      <c r="F197" s="324">
        <f>'6-x'!N917/41.868</f>
        <v>0</v>
      </c>
      <c r="G197" s="324">
        <f>'6-x'!O917/41.868</f>
        <v>0</v>
      </c>
      <c r="H197" s="279">
        <f>'6-x'!P917/41.868</f>
        <v>3787.8367599999988</v>
      </c>
    </row>
    <row r="198" spans="1:8">
      <c r="A198" s="258" t="s">
        <v>287</v>
      </c>
      <c r="B198" s="279">
        <f>'6-x'!J918/41.868</f>
        <v>90.736099999999979</v>
      </c>
      <c r="C198" s="279">
        <f>'6-x'!K918/41.868</f>
        <v>11079.769387999999</v>
      </c>
      <c r="D198" s="279">
        <f>'6-x'!L918/41.868</f>
        <v>775.52392199999997</v>
      </c>
      <c r="E198" s="279">
        <f>'6-x'!M918/41.868</f>
        <v>1551.730832</v>
      </c>
      <c r="F198" s="279">
        <f>'6-x'!N918/41.868</f>
        <v>2540.7890040000002</v>
      </c>
      <c r="G198" s="279">
        <f>'6-x'!O918/41.868</f>
        <v>44.151040000000002</v>
      </c>
      <c r="H198" s="279">
        <f>'6-x'!P918/41.868</f>
        <v>16082.700285999998</v>
      </c>
    </row>
    <row r="199" spans="1:8">
      <c r="A199" s="257" t="s">
        <v>25</v>
      </c>
      <c r="B199" s="324">
        <f>'6-x'!J919/41.868</f>
        <v>0</v>
      </c>
      <c r="C199" s="324">
        <f>'6-x'!K919/41.868</f>
        <v>267.08670000000001</v>
      </c>
      <c r="D199" s="324">
        <f>'6-x'!L919/41.868</f>
        <v>34.431319999999999</v>
      </c>
      <c r="E199" s="324">
        <f>'6-x'!M919/41.868</f>
        <v>16.034199999999998</v>
      </c>
      <c r="F199" s="324">
        <f>'6-x'!N919/41.868</f>
        <v>28.162979999999997</v>
      </c>
      <c r="G199" s="324">
        <f>'6-x'!O919/41.868</f>
        <v>22.8825</v>
      </c>
      <c r="H199" s="279">
        <f>'6-x'!P919/41.868</f>
        <v>368.59769999999997</v>
      </c>
    </row>
    <row r="200" spans="1:8">
      <c r="A200" s="257" t="s">
        <v>26</v>
      </c>
      <c r="B200" s="324">
        <f>'6-x'!J920/41.868</f>
        <v>0</v>
      </c>
      <c r="C200" s="324">
        <f>'6-x'!K920/41.868</f>
        <v>874.77852800000005</v>
      </c>
      <c r="D200" s="324">
        <f>'6-x'!L920/41.868</f>
        <v>0</v>
      </c>
      <c r="E200" s="324">
        <f>'6-x'!M920/41.868</f>
        <v>85.352879999999999</v>
      </c>
      <c r="F200" s="324">
        <f>'6-x'!N920/41.868</f>
        <v>3.9249000000000001</v>
      </c>
      <c r="G200" s="324">
        <f>'6-x'!O920/41.868</f>
        <v>0.16559999999999997</v>
      </c>
      <c r="H200" s="279">
        <f>'6-x'!P920/41.868</f>
        <v>964.22190800000021</v>
      </c>
    </row>
    <row r="201" spans="1:8">
      <c r="A201" s="257" t="s">
        <v>27</v>
      </c>
      <c r="B201" s="324">
        <f>'6-x'!J921/41.868</f>
        <v>0</v>
      </c>
      <c r="C201" s="324">
        <f>'6-x'!K921/41.868</f>
        <v>9426.6653559999977</v>
      </c>
      <c r="D201" s="324">
        <f>'6-x'!L921/41.868</f>
        <v>652.45016199999998</v>
      </c>
      <c r="E201" s="324">
        <f>'6-x'!M921/41.868</f>
        <v>364.57499999999999</v>
      </c>
      <c r="F201" s="324">
        <f>'6-x'!N921/41.868</f>
        <v>1554.2786920000001</v>
      </c>
      <c r="G201" s="324">
        <f>'6-x'!O921/41.868</f>
        <v>0.18401999999999999</v>
      </c>
      <c r="H201" s="279">
        <f>'6-x'!P921/41.868</f>
        <v>11998.153229999998</v>
      </c>
    </row>
    <row r="202" spans="1:8">
      <c r="A202" s="257" t="s">
        <v>28</v>
      </c>
      <c r="B202" s="324">
        <f>'6-x'!J922/41.868</f>
        <v>90.736099999999979</v>
      </c>
      <c r="C202" s="324">
        <f>'6-x'!K922/41.868</f>
        <v>285.00331999999997</v>
      </c>
      <c r="D202" s="324">
        <f>'6-x'!L922/41.868</f>
        <v>2.32992</v>
      </c>
      <c r="E202" s="324">
        <f>'6-x'!M922/41.868</f>
        <v>159.82050800000002</v>
      </c>
      <c r="F202" s="324">
        <f>'6-x'!N922/41.868</f>
        <v>270.691056</v>
      </c>
      <c r="G202" s="324">
        <f>'6-x'!O922/41.868</f>
        <v>4.4629200000000004</v>
      </c>
      <c r="H202" s="279">
        <f>'6-x'!P922/41.868</f>
        <v>813.04382400000009</v>
      </c>
    </row>
    <row r="203" spans="1:8">
      <c r="A203" s="257" t="s">
        <v>29</v>
      </c>
      <c r="B203" s="324">
        <f>'6-x'!J923/41.868</f>
        <v>0</v>
      </c>
      <c r="C203" s="324">
        <f>'6-x'!K923/41.868</f>
        <v>226.23548399999999</v>
      </c>
      <c r="D203" s="324">
        <f>'6-x'!L923/41.868</f>
        <v>86.312520000000006</v>
      </c>
      <c r="E203" s="324">
        <f>'6-x'!M923/41.868</f>
        <v>925.94824399999982</v>
      </c>
      <c r="F203" s="324">
        <f>'6-x'!N923/41.868</f>
        <v>683.73137599999984</v>
      </c>
      <c r="G203" s="324">
        <f>'6-x'!O923/41.868</f>
        <v>16.455999999999996</v>
      </c>
      <c r="H203" s="279">
        <f>'6-x'!P923/41.868</f>
        <v>1938.6836239999998</v>
      </c>
    </row>
    <row r="204" spans="1:8">
      <c r="A204" s="368" t="s">
        <v>10</v>
      </c>
      <c r="B204" s="370">
        <f>'6-x'!J924/41.868</f>
        <v>10160.36182</v>
      </c>
      <c r="C204" s="370">
        <f>'6-x'!K924/41.868</f>
        <v>25282.960277999995</v>
      </c>
      <c r="D204" s="370">
        <f>'6-x'!L924/41.868</f>
        <v>1275.546452</v>
      </c>
      <c r="E204" s="370">
        <f>'6-x'!M924/41.868</f>
        <v>7880.7937319999983</v>
      </c>
      <c r="F204" s="370">
        <f>'6-x'!N924/41.868</f>
        <v>3425.7904039999999</v>
      </c>
      <c r="G204" s="370">
        <f>'6-x'!O924/41.868</f>
        <v>313.93716000000001</v>
      </c>
      <c r="H204" s="370">
        <f>'6-x'!P924/41.868</f>
        <v>48339.389845999984</v>
      </c>
    </row>
  </sheetData>
  <mergeCells count="20">
    <mergeCell ref="B43:H43"/>
    <mergeCell ref="B45:H45"/>
    <mergeCell ref="B23:H23"/>
    <mergeCell ref="B25:H25"/>
    <mergeCell ref="A2:H2"/>
    <mergeCell ref="B3:H3"/>
    <mergeCell ref="B5:H5"/>
    <mergeCell ref="B175:H175"/>
    <mergeCell ref="B191:H191"/>
    <mergeCell ref="B141:H141"/>
    <mergeCell ref="B143:H143"/>
    <mergeCell ref="B159:H159"/>
    <mergeCell ref="B63:H63"/>
    <mergeCell ref="B65:H65"/>
    <mergeCell ref="B123:H123"/>
    <mergeCell ref="B125:H125"/>
    <mergeCell ref="B103:H103"/>
    <mergeCell ref="B105:H105"/>
    <mergeCell ref="B83:H83"/>
    <mergeCell ref="B85:H85"/>
  </mergeCells>
  <hyperlinks>
    <hyperlink ref="A1" location="Indice!A1" display="Torna indietro" xr:uid="{00000000-0004-0000-1500-000000000000}"/>
  </hyperlinks>
  <pageMargins left="0.7" right="0.7" top="0.75" bottom="0.75" header="0.3" footer="0.3"/>
  <pageSetup paperSize="0" orientation="portrait" horizontalDpi="0" verticalDpi="0" copie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7"/>
  <dimension ref="A1:P121"/>
  <sheetViews>
    <sheetView zoomScaleNormal="100" workbookViewId="0">
      <selection activeCell="O30" sqref="O30"/>
    </sheetView>
  </sheetViews>
  <sheetFormatPr defaultRowHeight="14.4"/>
  <cols>
    <col min="1" max="1" width="41.21875" customWidth="1"/>
    <col min="2" max="8" width="10.77734375" customWidth="1"/>
    <col min="10" max="10" width="9.77734375" bestFit="1" customWidth="1"/>
    <col min="11" max="13" width="9.21875" bestFit="1" customWidth="1"/>
  </cols>
  <sheetData>
    <row r="1" spans="1:8" ht="15.6">
      <c r="A1" s="113" t="s">
        <v>57</v>
      </c>
    </row>
    <row r="2" spans="1:8" ht="33.6" customHeight="1">
      <c r="A2" s="891" t="s">
        <v>280</v>
      </c>
      <c r="B2" s="891"/>
      <c r="C2" s="891"/>
      <c r="D2" s="891"/>
      <c r="E2" s="891"/>
      <c r="F2" s="891"/>
      <c r="G2" s="891"/>
      <c r="H2" s="891"/>
    </row>
    <row r="3" spans="1:8">
      <c r="B3" s="895" t="s">
        <v>11</v>
      </c>
      <c r="C3" s="895"/>
      <c r="D3" s="895"/>
      <c r="E3" s="895"/>
      <c r="F3" s="895"/>
      <c r="G3" s="895"/>
      <c r="H3" s="895"/>
    </row>
    <row r="4" spans="1:8" ht="28.8">
      <c r="B4" s="281" t="s">
        <v>5</v>
      </c>
      <c r="C4" s="281" t="s">
        <v>64</v>
      </c>
      <c r="D4" s="281" t="s">
        <v>7</v>
      </c>
      <c r="E4" s="281" t="s">
        <v>8</v>
      </c>
      <c r="F4" s="281" t="s">
        <v>267</v>
      </c>
      <c r="G4" s="281" t="s">
        <v>268</v>
      </c>
      <c r="H4" s="281" t="s">
        <v>10</v>
      </c>
    </row>
    <row r="5" spans="1:8">
      <c r="A5" s="283">
        <v>2023</v>
      </c>
      <c r="B5" s="896" t="s">
        <v>200</v>
      </c>
      <c r="C5" s="897"/>
      <c r="D5" s="897"/>
      <c r="E5" s="897"/>
      <c r="F5" s="897"/>
      <c r="G5" s="897"/>
      <c r="H5" s="898"/>
    </row>
    <row r="6" spans="1:8">
      <c r="A6" s="258" t="s">
        <v>287</v>
      </c>
      <c r="B6" s="279">
        <f>'6-x'!J57</f>
        <v>0</v>
      </c>
      <c r="C6" s="279">
        <f>'6-x'!K57</f>
        <v>14267.8</v>
      </c>
      <c r="D6" s="279">
        <f>'6-x'!L57</f>
        <v>285.20000000000005</v>
      </c>
      <c r="E6" s="279">
        <f>'6-x'!M57</f>
        <v>783.34</v>
      </c>
      <c r="F6" s="279">
        <f>'6-x'!N57</f>
        <v>3196.8</v>
      </c>
      <c r="G6" s="279">
        <f>'6-x'!O57</f>
        <v>1261.8399999999999</v>
      </c>
      <c r="H6" s="279">
        <f>'6-x'!P57</f>
        <v>19794.98</v>
      </c>
    </row>
    <row r="7" spans="1:8">
      <c r="A7" s="257" t="s">
        <v>25</v>
      </c>
      <c r="B7" s="324">
        <f>'6-x'!J58</f>
        <v>0</v>
      </c>
      <c r="C7" s="324">
        <f>'6-x'!K58</f>
        <v>2530.5</v>
      </c>
      <c r="D7" s="324">
        <f>'6-x'!L58</f>
        <v>34.799999999999997</v>
      </c>
      <c r="E7" s="324">
        <f>'6-x'!M58</f>
        <v>2.5</v>
      </c>
      <c r="F7" s="324">
        <f>'6-x'!N58</f>
        <v>350.3</v>
      </c>
      <c r="G7" s="324">
        <f>'6-x'!O58</f>
        <v>1251.5999999999999</v>
      </c>
      <c r="H7" s="279">
        <f>'6-x'!P58</f>
        <v>4169.7000000000007</v>
      </c>
    </row>
    <row r="8" spans="1:8">
      <c r="A8" s="257" t="s">
        <v>26</v>
      </c>
      <c r="B8" s="324">
        <f>'6-x'!J59</f>
        <v>0</v>
      </c>
      <c r="C8" s="324">
        <f>'6-x'!K59</f>
        <v>1431.6</v>
      </c>
      <c r="D8" s="324">
        <f>'6-x'!L59</f>
        <v>0</v>
      </c>
      <c r="E8" s="324">
        <f>'6-x'!M59</f>
        <v>74.739999999999995</v>
      </c>
      <c r="F8" s="324">
        <f>'6-x'!N59</f>
        <v>9.6</v>
      </c>
      <c r="G8" s="324">
        <f>'6-x'!O59</f>
        <v>2.34</v>
      </c>
      <c r="H8" s="279">
        <f>'6-x'!P59</f>
        <v>1518.2799999999997</v>
      </c>
    </row>
    <row r="9" spans="1:8">
      <c r="A9" s="257" t="s">
        <v>27</v>
      </c>
      <c r="B9" s="324">
        <f>'6-x'!J60</f>
        <v>0</v>
      </c>
      <c r="C9" s="324">
        <f>'6-x'!K60</f>
        <v>9895.1</v>
      </c>
      <c r="D9" s="324">
        <f>'6-x'!L60</f>
        <v>137</v>
      </c>
      <c r="E9" s="324">
        <f>'6-x'!M60</f>
        <v>480.6</v>
      </c>
      <c r="F9" s="324">
        <f>'6-x'!N60</f>
        <v>1172.4000000000001</v>
      </c>
      <c r="G9" s="324">
        <f>'6-x'!O60</f>
        <v>7.5</v>
      </c>
      <c r="H9" s="279">
        <f>'6-x'!P60</f>
        <v>11692.6</v>
      </c>
    </row>
    <row r="10" spans="1:8">
      <c r="A10" s="257" t="s">
        <v>28</v>
      </c>
      <c r="B10" s="324">
        <f>'6-x'!J61</f>
        <v>0</v>
      </c>
      <c r="C10" s="324">
        <f>'6-x'!K61</f>
        <v>147.80000000000001</v>
      </c>
      <c r="D10" s="324">
        <f>'6-x'!L61</f>
        <v>0</v>
      </c>
      <c r="E10" s="324">
        <f>'6-x'!M61</f>
        <v>111.8</v>
      </c>
      <c r="F10" s="324">
        <f>'6-x'!N61</f>
        <v>207.1</v>
      </c>
      <c r="G10" s="324">
        <f>'6-x'!O61</f>
        <v>0</v>
      </c>
      <c r="H10" s="279">
        <f>'6-x'!P61</f>
        <v>466.70000000000005</v>
      </c>
    </row>
    <row r="11" spans="1:8">
      <c r="A11" s="257" t="s">
        <v>29</v>
      </c>
      <c r="B11" s="324">
        <f>'6-x'!J62</f>
        <v>0</v>
      </c>
      <c r="C11" s="324">
        <f>'6-x'!K62</f>
        <v>262.8</v>
      </c>
      <c r="D11" s="324">
        <f>'6-x'!L62</f>
        <v>113.4</v>
      </c>
      <c r="E11" s="324">
        <f>'6-x'!M62</f>
        <v>113.7</v>
      </c>
      <c r="F11" s="324">
        <f>'6-x'!N62</f>
        <v>1457.4</v>
      </c>
      <c r="G11" s="324">
        <f>'6-x'!O62</f>
        <v>0.4</v>
      </c>
      <c r="H11" s="279">
        <f>'6-x'!P62</f>
        <v>1947.7000000000003</v>
      </c>
    </row>
    <row r="12" spans="1:8">
      <c r="A12" s="257" t="s">
        <v>388</v>
      </c>
      <c r="B12" s="324">
        <f>'6-x'!J63</f>
        <v>0</v>
      </c>
      <c r="C12" s="324">
        <f>'6-x'!K63</f>
        <v>0</v>
      </c>
      <c r="D12" s="324">
        <f>'6-x'!L63</f>
        <v>0</v>
      </c>
      <c r="E12" s="324">
        <f>'6-x'!M63</f>
        <v>0</v>
      </c>
      <c r="F12" s="324">
        <f>'6-x'!N63</f>
        <v>0</v>
      </c>
      <c r="G12" s="324">
        <f>'6-x'!O63</f>
        <v>0</v>
      </c>
      <c r="H12" s="279">
        <f>'6-x'!P63</f>
        <v>0</v>
      </c>
    </row>
    <row r="13" spans="1:8" ht="15.6">
      <c r="A13" s="360"/>
      <c r="B13" s="360"/>
      <c r="C13" s="360"/>
      <c r="D13" s="360"/>
      <c r="E13" s="360"/>
      <c r="F13" s="360"/>
      <c r="G13" s="360"/>
      <c r="H13" s="360"/>
    </row>
    <row r="14" spans="1:8" ht="15.6">
      <c r="A14" s="360"/>
      <c r="B14" s="360"/>
      <c r="C14" s="360"/>
      <c r="D14" s="360"/>
      <c r="E14" s="360"/>
      <c r="F14" s="360"/>
      <c r="G14" s="360"/>
      <c r="H14" s="360"/>
    </row>
    <row r="15" spans="1:8">
      <c r="B15" s="895" t="s">
        <v>11</v>
      </c>
      <c r="C15" s="895"/>
      <c r="D15" s="895"/>
      <c r="E15" s="895"/>
      <c r="F15" s="895"/>
      <c r="G15" s="895"/>
      <c r="H15" s="895"/>
    </row>
    <row r="16" spans="1:8" ht="28.8">
      <c r="B16" s="281" t="s">
        <v>5</v>
      </c>
      <c r="C16" s="281" t="s">
        <v>64</v>
      </c>
      <c r="D16" s="281" t="s">
        <v>7</v>
      </c>
      <c r="E16" s="281" t="s">
        <v>8</v>
      </c>
      <c r="F16" s="281" t="s">
        <v>267</v>
      </c>
      <c r="G16" s="281" t="s">
        <v>268</v>
      </c>
      <c r="H16" s="281" t="s">
        <v>10</v>
      </c>
    </row>
    <row r="17" spans="1:8">
      <c r="A17" s="283">
        <v>2022</v>
      </c>
      <c r="B17" s="896" t="s">
        <v>200</v>
      </c>
      <c r="C17" s="897"/>
      <c r="D17" s="897"/>
      <c r="E17" s="897"/>
      <c r="F17" s="897"/>
      <c r="G17" s="897"/>
      <c r="H17" s="898"/>
    </row>
    <row r="18" spans="1:8">
      <c r="A18" s="258" t="s">
        <v>287</v>
      </c>
      <c r="B18" s="279">
        <f>'6-x'!J149</f>
        <v>0</v>
      </c>
      <c r="C18" s="279">
        <f>'6-x'!K149</f>
        <v>15511.91</v>
      </c>
      <c r="D18" s="279">
        <f>'6-x'!L149</f>
        <v>399.34000000000003</v>
      </c>
      <c r="E18" s="279">
        <f>'6-x'!M149</f>
        <v>866.61999999999989</v>
      </c>
      <c r="F18" s="279">
        <f>'6-x'!N149</f>
        <v>3526.7999999999997</v>
      </c>
      <c r="G18" s="279">
        <f>'6-x'!O149</f>
        <v>1283.74</v>
      </c>
      <c r="H18" s="279">
        <f>'6-x'!P149</f>
        <v>21588.41</v>
      </c>
    </row>
    <row r="19" spans="1:8">
      <c r="A19" s="257" t="s">
        <v>25</v>
      </c>
      <c r="B19" s="324">
        <f>'6-x'!J150</f>
        <v>0</v>
      </c>
      <c r="C19" s="324">
        <f>'6-x'!K150</f>
        <v>2494.37</v>
      </c>
      <c r="D19" s="324">
        <f>'6-x'!L150</f>
        <v>36.340000000000003</v>
      </c>
      <c r="E19" s="324">
        <f>'6-x'!M150</f>
        <v>3</v>
      </c>
      <c r="F19" s="324">
        <f>'6-x'!N150</f>
        <v>339.7</v>
      </c>
      <c r="G19" s="324">
        <f>'6-x'!O150</f>
        <v>1274.54</v>
      </c>
      <c r="H19" s="279">
        <f>'6-x'!P150</f>
        <v>4147.95</v>
      </c>
    </row>
    <row r="20" spans="1:8">
      <c r="A20" s="257" t="s">
        <v>26</v>
      </c>
      <c r="B20" s="324">
        <f>'6-x'!J151</f>
        <v>0</v>
      </c>
      <c r="C20" s="324">
        <f>'6-x'!K151</f>
        <v>1625.34</v>
      </c>
      <c r="D20" s="324">
        <f>'6-x'!L151</f>
        <v>0</v>
      </c>
      <c r="E20" s="324">
        <f>'6-x'!M151</f>
        <v>149.91999999999999</v>
      </c>
      <c r="F20" s="324">
        <f>'6-x'!N151</f>
        <v>11.7</v>
      </c>
      <c r="G20" s="324">
        <f>'6-x'!O151</f>
        <v>0.8</v>
      </c>
      <c r="H20" s="279">
        <f>'6-x'!P151</f>
        <v>1787.76</v>
      </c>
    </row>
    <row r="21" spans="1:8">
      <c r="A21" s="257" t="s">
        <v>27</v>
      </c>
      <c r="B21" s="324">
        <f>'6-x'!J152</f>
        <v>0</v>
      </c>
      <c r="C21" s="324">
        <f>'6-x'!K152</f>
        <v>10920.15</v>
      </c>
      <c r="D21" s="324">
        <f>'6-x'!L152</f>
        <v>174.8</v>
      </c>
      <c r="E21" s="324">
        <f>'6-x'!M152</f>
        <v>487.4</v>
      </c>
      <c r="F21" s="324">
        <f>'6-x'!N152</f>
        <v>1406.8</v>
      </c>
      <c r="G21" s="324">
        <f>'6-x'!O152</f>
        <v>7.5</v>
      </c>
      <c r="H21" s="279">
        <f>'6-x'!P152</f>
        <v>12996.649999999998</v>
      </c>
    </row>
    <row r="22" spans="1:8">
      <c r="A22" s="257" t="s">
        <v>28</v>
      </c>
      <c r="B22" s="324">
        <f>'6-x'!J153</f>
        <v>0</v>
      </c>
      <c r="C22" s="324">
        <f>'6-x'!K153</f>
        <v>189.55</v>
      </c>
      <c r="D22" s="324">
        <f>'6-x'!L153</f>
        <v>0</v>
      </c>
      <c r="E22" s="324">
        <f>'6-x'!M153</f>
        <v>123.9</v>
      </c>
      <c r="F22" s="324">
        <f>'6-x'!N153</f>
        <v>207.6</v>
      </c>
      <c r="G22" s="324">
        <f>'6-x'!O153</f>
        <v>0</v>
      </c>
      <c r="H22" s="279">
        <f>'6-x'!P153</f>
        <v>521.05000000000007</v>
      </c>
    </row>
    <row r="23" spans="1:8">
      <c r="A23" s="257" t="s">
        <v>29</v>
      </c>
      <c r="B23" s="324">
        <f>'6-x'!J154</f>
        <v>0</v>
      </c>
      <c r="C23" s="324">
        <f>'6-x'!K154</f>
        <v>282.39999999999998</v>
      </c>
      <c r="D23" s="324">
        <f>'6-x'!L154</f>
        <v>188.2</v>
      </c>
      <c r="E23" s="324">
        <f>'6-x'!M154</f>
        <v>102.4</v>
      </c>
      <c r="F23" s="324">
        <f>'6-x'!N154</f>
        <v>1561</v>
      </c>
      <c r="G23" s="324">
        <f>'6-x'!O154</f>
        <v>0.9</v>
      </c>
      <c r="H23" s="279">
        <f>'6-x'!P154</f>
        <v>2134.9</v>
      </c>
    </row>
    <row r="24" spans="1:8">
      <c r="A24" s="257" t="s">
        <v>388</v>
      </c>
      <c r="B24" s="324">
        <f>'6-x'!J155</f>
        <v>0</v>
      </c>
      <c r="C24" s="324">
        <f>'6-x'!K155</f>
        <v>0.1</v>
      </c>
      <c r="D24" s="324">
        <f>'6-x'!L155</f>
        <v>0</v>
      </c>
      <c r="E24" s="324">
        <f>'6-x'!M155</f>
        <v>0</v>
      </c>
      <c r="F24" s="324">
        <f>'6-x'!N155</f>
        <v>0</v>
      </c>
      <c r="G24" s="324">
        <f>'6-x'!O155</f>
        <v>0</v>
      </c>
      <c r="H24" s="279">
        <f>'6-x'!P155</f>
        <v>0.1</v>
      </c>
    </row>
    <row r="25" spans="1:8" ht="15.6">
      <c r="A25" s="360"/>
      <c r="B25" s="360"/>
      <c r="C25" s="360"/>
      <c r="D25" s="360"/>
      <c r="E25" s="360"/>
      <c r="F25" s="360"/>
      <c r="G25" s="360"/>
      <c r="H25" s="360"/>
    </row>
    <row r="26" spans="1:8" ht="15.6">
      <c r="A26" s="360"/>
      <c r="B26" s="360"/>
      <c r="C26" s="360"/>
      <c r="D26" s="360"/>
      <c r="E26" s="360"/>
      <c r="F26" s="360"/>
      <c r="G26" s="360"/>
      <c r="H26" s="360"/>
    </row>
    <row r="27" spans="1:8">
      <c r="B27" s="895" t="s">
        <v>11</v>
      </c>
      <c r="C27" s="895"/>
      <c r="D27" s="895"/>
      <c r="E27" s="895"/>
      <c r="F27" s="895"/>
      <c r="G27" s="895"/>
      <c r="H27" s="895"/>
    </row>
    <row r="28" spans="1:8" ht="28.8">
      <c r="B28" s="281" t="s">
        <v>5</v>
      </c>
      <c r="C28" s="281" t="s">
        <v>64</v>
      </c>
      <c r="D28" s="281" t="s">
        <v>7</v>
      </c>
      <c r="E28" s="281" t="s">
        <v>8</v>
      </c>
      <c r="F28" s="281" t="s">
        <v>267</v>
      </c>
      <c r="G28" s="281" t="s">
        <v>268</v>
      </c>
      <c r="H28" s="281" t="s">
        <v>10</v>
      </c>
    </row>
    <row r="29" spans="1:8">
      <c r="A29" s="283">
        <v>2021</v>
      </c>
      <c r="B29" s="896" t="s">
        <v>200</v>
      </c>
      <c r="C29" s="897"/>
      <c r="D29" s="897"/>
      <c r="E29" s="897"/>
      <c r="F29" s="897"/>
      <c r="G29" s="897"/>
      <c r="H29" s="898"/>
    </row>
    <row r="30" spans="1:8">
      <c r="A30" s="258" t="s">
        <v>287</v>
      </c>
      <c r="B30" s="279">
        <f>'6-x'!J241</f>
        <v>0</v>
      </c>
      <c r="C30" s="279">
        <f>'6-x'!K241</f>
        <v>15857.460000000001</v>
      </c>
      <c r="D30" s="279">
        <f>'6-x'!L241</f>
        <v>479.70000000000005</v>
      </c>
      <c r="E30" s="279">
        <f>'6-x'!M241</f>
        <v>743.75999999999988</v>
      </c>
      <c r="F30" s="279">
        <f>'6-x'!N241</f>
        <v>2816.37</v>
      </c>
      <c r="G30" s="279">
        <f>'6-x'!O241</f>
        <v>1323.9</v>
      </c>
      <c r="H30" s="279">
        <f>'6-x'!P241</f>
        <v>21221.190000000002</v>
      </c>
    </row>
    <row r="31" spans="1:8">
      <c r="A31" s="257" t="s">
        <v>25</v>
      </c>
      <c r="B31" s="324">
        <f>'6-x'!J242</f>
        <v>0</v>
      </c>
      <c r="C31" s="324">
        <f>'6-x'!K242</f>
        <v>2572.4</v>
      </c>
      <c r="D31" s="324">
        <f>'6-x'!L242</f>
        <v>34.6</v>
      </c>
      <c r="E31" s="324">
        <f>'6-x'!M242</f>
        <v>4.0999999999999996</v>
      </c>
      <c r="F31" s="324">
        <f>'6-x'!N242</f>
        <v>452.6</v>
      </c>
      <c r="G31" s="324">
        <f>'6-x'!O242</f>
        <v>1315</v>
      </c>
      <c r="H31" s="279">
        <f>'6-x'!P242</f>
        <v>4378.7</v>
      </c>
    </row>
    <row r="32" spans="1:8">
      <c r="A32" s="257" t="s">
        <v>26</v>
      </c>
      <c r="B32" s="324">
        <f>'6-x'!J243</f>
        <v>0</v>
      </c>
      <c r="C32" s="324">
        <f>'6-x'!K243</f>
        <v>1924.54</v>
      </c>
      <c r="D32" s="324">
        <f>'6-x'!L243</f>
        <v>0</v>
      </c>
      <c r="E32" s="324">
        <f>'6-x'!M243</f>
        <v>88.11</v>
      </c>
      <c r="F32" s="324">
        <f>'6-x'!N243</f>
        <v>12.9</v>
      </c>
      <c r="G32" s="324">
        <f>'6-x'!O243</f>
        <v>1.2</v>
      </c>
      <c r="H32" s="279">
        <f>'6-x'!P243</f>
        <v>2026.75</v>
      </c>
    </row>
    <row r="33" spans="1:8">
      <c r="A33" s="257" t="s">
        <v>27</v>
      </c>
      <c r="B33" s="324">
        <f>'6-x'!J244</f>
        <v>0</v>
      </c>
      <c r="C33" s="324">
        <f>'6-x'!K244</f>
        <v>10877.3</v>
      </c>
      <c r="D33" s="324">
        <f>'6-x'!L244</f>
        <v>230.2</v>
      </c>
      <c r="E33" s="324">
        <f>'6-x'!M244</f>
        <v>416.4</v>
      </c>
      <c r="F33" s="324">
        <f>'6-x'!N244</f>
        <v>642.29999999999995</v>
      </c>
      <c r="G33" s="324">
        <f>'6-x'!O244</f>
        <v>7.4</v>
      </c>
      <c r="H33" s="279">
        <f>'6-x'!P244</f>
        <v>12173.599999999999</v>
      </c>
    </row>
    <row r="34" spans="1:8">
      <c r="A34" s="257" t="s">
        <v>28</v>
      </c>
      <c r="B34" s="324">
        <f>'6-x'!J245</f>
        <v>0</v>
      </c>
      <c r="C34" s="324">
        <f>'6-x'!K245</f>
        <v>217.87</v>
      </c>
      <c r="D34" s="324">
        <f>'6-x'!L245</f>
        <v>0</v>
      </c>
      <c r="E34" s="324">
        <f>'6-x'!M245</f>
        <v>118.5</v>
      </c>
      <c r="F34" s="324">
        <f>'6-x'!N245</f>
        <v>208.57</v>
      </c>
      <c r="G34" s="324">
        <f>'6-x'!O245</f>
        <v>0</v>
      </c>
      <c r="H34" s="279">
        <f>'6-x'!P245</f>
        <v>544.94000000000005</v>
      </c>
    </row>
    <row r="35" spans="1:8">
      <c r="A35" s="257" t="s">
        <v>29</v>
      </c>
      <c r="B35" s="324">
        <f>'6-x'!J246</f>
        <v>0</v>
      </c>
      <c r="C35" s="324">
        <f>'6-x'!K246</f>
        <v>265.25</v>
      </c>
      <c r="D35" s="324">
        <f>'6-x'!L246</f>
        <v>214.9</v>
      </c>
      <c r="E35" s="324">
        <f>'6-x'!M246</f>
        <v>116.65</v>
      </c>
      <c r="F35" s="324">
        <f>'6-x'!N246</f>
        <v>1500</v>
      </c>
      <c r="G35" s="324">
        <f>'6-x'!O246</f>
        <v>0.3</v>
      </c>
      <c r="H35" s="279">
        <f>'6-x'!P246</f>
        <v>2097.1000000000004</v>
      </c>
    </row>
    <row r="36" spans="1:8">
      <c r="A36" s="257" t="s">
        <v>388</v>
      </c>
      <c r="B36" s="324">
        <f>'6-x'!J247</f>
        <v>0</v>
      </c>
      <c r="C36" s="324">
        <f>'6-x'!K247</f>
        <v>0.1</v>
      </c>
      <c r="D36" s="324">
        <f>'6-x'!L247</f>
        <v>0</v>
      </c>
      <c r="E36" s="324">
        <f>'6-x'!M247</f>
        <v>0</v>
      </c>
      <c r="F36" s="324">
        <f>'6-x'!N247</f>
        <v>0</v>
      </c>
      <c r="G36" s="324">
        <f>'6-x'!O247</f>
        <v>0</v>
      </c>
      <c r="H36" s="279">
        <f>'6-x'!P247</f>
        <v>0.1</v>
      </c>
    </row>
    <row r="37" spans="1:8" ht="15.6">
      <c r="A37" s="360"/>
      <c r="B37" s="360"/>
      <c r="C37" s="360"/>
      <c r="D37" s="360"/>
      <c r="E37" s="360"/>
      <c r="F37" s="360"/>
      <c r="G37" s="360"/>
      <c r="H37" s="360"/>
    </row>
    <row r="38" spans="1:8" ht="15.6">
      <c r="A38" s="360"/>
      <c r="B38" s="360"/>
      <c r="C38" s="360"/>
      <c r="D38" s="360"/>
      <c r="E38" s="360"/>
      <c r="F38" s="360"/>
      <c r="G38" s="360"/>
      <c r="H38" s="360"/>
    </row>
    <row r="39" spans="1:8">
      <c r="B39" s="895" t="s">
        <v>11</v>
      </c>
      <c r="C39" s="895"/>
      <c r="D39" s="895"/>
      <c r="E39" s="895"/>
      <c r="F39" s="895"/>
      <c r="G39" s="895"/>
      <c r="H39" s="895"/>
    </row>
    <row r="40" spans="1:8" ht="28.8">
      <c r="B40" s="281" t="s">
        <v>5</v>
      </c>
      <c r="C40" s="281" t="s">
        <v>64</v>
      </c>
      <c r="D40" s="281" t="s">
        <v>7</v>
      </c>
      <c r="E40" s="281" t="s">
        <v>8</v>
      </c>
      <c r="F40" s="281" t="s">
        <v>267</v>
      </c>
      <c r="G40" s="281" t="s">
        <v>268</v>
      </c>
      <c r="H40" s="281" t="s">
        <v>10</v>
      </c>
    </row>
    <row r="41" spans="1:8">
      <c r="A41" s="283">
        <v>2020</v>
      </c>
      <c r="B41" s="896" t="s">
        <v>200</v>
      </c>
      <c r="C41" s="897"/>
      <c r="D41" s="897"/>
      <c r="E41" s="897"/>
      <c r="F41" s="897"/>
      <c r="G41" s="897"/>
      <c r="H41" s="898"/>
    </row>
    <row r="42" spans="1:8">
      <c r="A42" s="258" t="s">
        <v>287</v>
      </c>
      <c r="B42" s="279">
        <f>'6-x'!J333</f>
        <v>32.799999999999997</v>
      </c>
      <c r="C42" s="279">
        <f>'6-x'!K333</f>
        <v>15029.380000000001</v>
      </c>
      <c r="D42" s="279">
        <f>'6-x'!L333</f>
        <v>416.7</v>
      </c>
      <c r="E42" s="279">
        <f>'6-x'!M333</f>
        <v>787.30000000000007</v>
      </c>
      <c r="F42" s="279">
        <f>'6-x'!N333</f>
        <v>3799.7200000000003</v>
      </c>
      <c r="G42" s="279">
        <f>'6-x'!O333</f>
        <v>1266.93</v>
      </c>
      <c r="H42" s="279">
        <f>'6-x'!P333</f>
        <v>21332.83</v>
      </c>
    </row>
    <row r="43" spans="1:8">
      <c r="A43" s="257" t="s">
        <v>25</v>
      </c>
      <c r="B43" s="324">
        <f>'6-x'!J334</f>
        <v>0</v>
      </c>
      <c r="C43" s="324">
        <f>'6-x'!K334</f>
        <v>2261.8200000000002</v>
      </c>
      <c r="D43" s="324">
        <f>'6-x'!L334</f>
        <v>30.4</v>
      </c>
      <c r="E43" s="324">
        <f>'6-x'!M334</f>
        <v>7.1</v>
      </c>
      <c r="F43" s="324">
        <f>'6-x'!N334</f>
        <v>603.29999999999995</v>
      </c>
      <c r="G43" s="324">
        <f>'6-x'!O334</f>
        <v>1258.82</v>
      </c>
      <c r="H43" s="279">
        <f>'6-x'!P334</f>
        <v>4161.4399999999996</v>
      </c>
    </row>
    <row r="44" spans="1:8">
      <c r="A44" s="257" t="s">
        <v>26</v>
      </c>
      <c r="B44" s="324">
        <f>'6-x'!J335</f>
        <v>0</v>
      </c>
      <c r="C44" s="324">
        <f>'6-x'!K335</f>
        <v>1243.5999999999999</v>
      </c>
      <c r="D44" s="324">
        <f>'6-x'!L335</f>
        <v>0</v>
      </c>
      <c r="E44" s="324">
        <f>'6-x'!M335</f>
        <v>140.30000000000001</v>
      </c>
      <c r="F44" s="324">
        <f>'6-x'!N335</f>
        <v>14.7</v>
      </c>
      <c r="G44" s="324">
        <f>'6-x'!O335</f>
        <v>1.5</v>
      </c>
      <c r="H44" s="279">
        <f>'6-x'!P335</f>
        <v>1400.1</v>
      </c>
    </row>
    <row r="45" spans="1:8">
      <c r="A45" s="257" t="s">
        <v>27</v>
      </c>
      <c r="B45" s="324">
        <f>'6-x'!J336</f>
        <v>0</v>
      </c>
      <c r="C45" s="324">
        <f>'6-x'!K336</f>
        <v>11005.22</v>
      </c>
      <c r="D45" s="324">
        <f>'6-x'!L336</f>
        <v>220.7</v>
      </c>
      <c r="E45" s="324">
        <f>'6-x'!M336</f>
        <v>451.1</v>
      </c>
      <c r="F45" s="324">
        <f>'6-x'!N336</f>
        <v>1191.32</v>
      </c>
      <c r="G45" s="324">
        <f>'6-x'!O336</f>
        <v>6.2</v>
      </c>
      <c r="H45" s="279">
        <f>'6-x'!P336</f>
        <v>12874.54</v>
      </c>
    </row>
    <row r="46" spans="1:8">
      <c r="A46" s="257" t="s">
        <v>28</v>
      </c>
      <c r="B46" s="324">
        <f>'6-x'!J337</f>
        <v>0</v>
      </c>
      <c r="C46" s="324">
        <f>'6-x'!K337</f>
        <v>227.04</v>
      </c>
      <c r="D46" s="324">
        <f>'6-x'!L337</f>
        <v>0</v>
      </c>
      <c r="E46" s="324">
        <f>'6-x'!M337</f>
        <v>80.2</v>
      </c>
      <c r="F46" s="324">
        <f>'6-x'!N337</f>
        <v>210.5</v>
      </c>
      <c r="G46" s="324">
        <f>'6-x'!O337</f>
        <v>0.01</v>
      </c>
      <c r="H46" s="279">
        <f>'6-x'!P337</f>
        <v>517.75</v>
      </c>
    </row>
    <row r="47" spans="1:8">
      <c r="A47" s="257" t="s">
        <v>29</v>
      </c>
      <c r="B47" s="324">
        <f>'6-x'!J338</f>
        <v>32.799999999999997</v>
      </c>
      <c r="C47" s="324">
        <f>'6-x'!K338</f>
        <v>291.60000000000002</v>
      </c>
      <c r="D47" s="324">
        <f>'6-x'!L338</f>
        <v>165.6</v>
      </c>
      <c r="E47" s="324">
        <f>'6-x'!M338</f>
        <v>108.6</v>
      </c>
      <c r="F47" s="324">
        <f>'6-x'!N338</f>
        <v>1779.9</v>
      </c>
      <c r="G47" s="324">
        <f>'6-x'!O338</f>
        <v>0.4</v>
      </c>
      <c r="H47" s="279">
        <f>'6-x'!P338</f>
        <v>2378.9</v>
      </c>
    </row>
    <row r="48" spans="1:8">
      <c r="A48" s="257" t="s">
        <v>388</v>
      </c>
      <c r="B48" s="324">
        <f>'6-x'!J339</f>
        <v>0</v>
      </c>
      <c r="C48" s="324">
        <f>'6-x'!K339</f>
        <v>0.1</v>
      </c>
      <c r="D48" s="324">
        <f>'6-x'!L339</f>
        <v>0</v>
      </c>
      <c r="E48" s="324">
        <f>'6-x'!M339</f>
        <v>0</v>
      </c>
      <c r="F48" s="324">
        <f>'6-x'!N339</f>
        <v>0</v>
      </c>
      <c r="G48" s="324">
        <f>'6-x'!O339</f>
        <v>0</v>
      </c>
      <c r="H48" s="279">
        <f>'6-x'!P339</f>
        <v>0.1</v>
      </c>
    </row>
    <row r="49" spans="1:8" ht="15.6">
      <c r="A49" s="360"/>
      <c r="B49" s="360"/>
      <c r="C49" s="360"/>
      <c r="D49" s="360"/>
      <c r="E49" s="360"/>
      <c r="F49" s="360"/>
      <c r="G49" s="360"/>
      <c r="H49" s="360"/>
    </row>
    <row r="50" spans="1:8" ht="15.6">
      <c r="A50" s="360"/>
      <c r="B50" s="360"/>
      <c r="C50" s="360"/>
      <c r="D50" s="360"/>
      <c r="E50" s="360"/>
      <c r="F50" s="360"/>
      <c r="G50" s="360"/>
      <c r="H50" s="360"/>
    </row>
    <row r="51" spans="1:8">
      <c r="B51" s="895" t="s">
        <v>11</v>
      </c>
      <c r="C51" s="895"/>
      <c r="D51" s="895"/>
      <c r="E51" s="895"/>
      <c r="F51" s="895"/>
      <c r="G51" s="895"/>
      <c r="H51" s="895"/>
    </row>
    <row r="52" spans="1:8" ht="28.8">
      <c r="B52" s="281" t="s">
        <v>5</v>
      </c>
      <c r="C52" s="281" t="s">
        <v>64</v>
      </c>
      <c r="D52" s="281" t="s">
        <v>7</v>
      </c>
      <c r="E52" s="281" t="s">
        <v>8</v>
      </c>
      <c r="F52" s="281" t="s">
        <v>267</v>
      </c>
      <c r="G52" s="281" t="s">
        <v>268</v>
      </c>
      <c r="H52" s="281" t="s">
        <v>10</v>
      </c>
    </row>
    <row r="53" spans="1:8">
      <c r="A53" s="283">
        <v>2019</v>
      </c>
      <c r="B53" s="896" t="s">
        <v>200</v>
      </c>
      <c r="C53" s="897"/>
      <c r="D53" s="897"/>
      <c r="E53" s="897"/>
      <c r="F53" s="897"/>
      <c r="G53" s="897"/>
      <c r="H53" s="898"/>
    </row>
    <row r="54" spans="1:8">
      <c r="A54" s="258" t="s">
        <v>287</v>
      </c>
      <c r="B54" s="279">
        <f>'6-x'!J425</f>
        <v>65.7</v>
      </c>
      <c r="C54" s="279">
        <f>'6-x'!K425</f>
        <v>16036.349999999999</v>
      </c>
      <c r="D54" s="279">
        <f>'6-x'!L425</f>
        <v>607.6</v>
      </c>
      <c r="E54" s="279">
        <f>'6-x'!M425</f>
        <v>804.2</v>
      </c>
      <c r="F54" s="279">
        <f>'6-x'!N425</f>
        <v>3720.2</v>
      </c>
      <c r="G54" s="279">
        <f>'6-x'!O425</f>
        <v>1261.6500000000001</v>
      </c>
      <c r="H54" s="279">
        <f>'6-x'!P425</f>
        <v>22495.7</v>
      </c>
    </row>
    <row r="55" spans="1:8">
      <c r="A55" s="257" t="s">
        <v>25</v>
      </c>
      <c r="B55" s="324">
        <f>'6-x'!J426</f>
        <v>0</v>
      </c>
      <c r="C55" s="324">
        <f>'6-x'!K426</f>
        <v>2203.1999999999998</v>
      </c>
      <c r="D55" s="324">
        <f>'6-x'!L426</f>
        <v>35.200000000000003</v>
      </c>
      <c r="E55" s="324">
        <f>'6-x'!M426</f>
        <v>7.1</v>
      </c>
      <c r="F55" s="324">
        <f>'6-x'!N426</f>
        <v>602</v>
      </c>
      <c r="G55" s="324">
        <f>'6-x'!O426</f>
        <v>1252.4000000000001</v>
      </c>
      <c r="H55" s="279">
        <f>'6-x'!P426</f>
        <v>4099.8999999999996</v>
      </c>
    </row>
    <row r="56" spans="1:8">
      <c r="A56" s="257" t="s">
        <v>26</v>
      </c>
      <c r="B56" s="324">
        <f>'6-x'!J427</f>
        <v>0</v>
      </c>
      <c r="C56" s="324">
        <f>'6-x'!K427</f>
        <v>1303.9000000000001</v>
      </c>
      <c r="D56" s="324">
        <f>'6-x'!L427</f>
        <v>0</v>
      </c>
      <c r="E56" s="324">
        <f>'6-x'!M427</f>
        <v>120.3</v>
      </c>
      <c r="F56" s="324">
        <f>'6-x'!N427</f>
        <v>14.5</v>
      </c>
      <c r="G56" s="324">
        <f>'6-x'!O427</f>
        <v>1.2</v>
      </c>
      <c r="H56" s="279">
        <f>'6-x'!P427</f>
        <v>1439.9</v>
      </c>
    </row>
    <row r="57" spans="1:8">
      <c r="A57" s="257" t="s">
        <v>27</v>
      </c>
      <c r="B57" s="324">
        <f>'6-x'!J428</f>
        <v>0</v>
      </c>
      <c r="C57" s="324">
        <f>'6-x'!K428</f>
        <v>12014.3</v>
      </c>
      <c r="D57" s="324">
        <f>'6-x'!L428</f>
        <v>377.6</v>
      </c>
      <c r="E57" s="324">
        <f>'6-x'!M428</f>
        <v>479.2</v>
      </c>
      <c r="F57" s="324">
        <f>'6-x'!N428</f>
        <v>1123.7</v>
      </c>
      <c r="G57" s="324">
        <f>'6-x'!O428</f>
        <v>6.2</v>
      </c>
      <c r="H57" s="279">
        <f>'6-x'!P428</f>
        <v>14001.000000000002</v>
      </c>
    </row>
    <row r="58" spans="1:8">
      <c r="A58" s="257" t="s">
        <v>28</v>
      </c>
      <c r="B58" s="324">
        <f>'6-x'!J429</f>
        <v>10.6</v>
      </c>
      <c r="C58" s="324">
        <f>'6-x'!K429</f>
        <v>273.10000000000002</v>
      </c>
      <c r="D58" s="324">
        <f>'6-x'!L429</f>
        <v>0</v>
      </c>
      <c r="E58" s="324">
        <f>'6-x'!M429</f>
        <v>101.4</v>
      </c>
      <c r="F58" s="324">
        <f>'6-x'!N429</f>
        <v>222.9</v>
      </c>
      <c r="G58" s="324">
        <f>'6-x'!O429</f>
        <v>0</v>
      </c>
      <c r="H58" s="279">
        <f>'6-x'!P429</f>
        <v>608</v>
      </c>
    </row>
    <row r="59" spans="1:8">
      <c r="A59" s="257" t="s">
        <v>29</v>
      </c>
      <c r="B59" s="324">
        <f>'6-x'!J430</f>
        <v>55.1</v>
      </c>
      <c r="C59" s="324">
        <f>'6-x'!K430</f>
        <v>241.8</v>
      </c>
      <c r="D59" s="324">
        <f>'6-x'!L430</f>
        <v>194.8</v>
      </c>
      <c r="E59" s="324">
        <f>'6-x'!M430</f>
        <v>96.2</v>
      </c>
      <c r="F59" s="324">
        <f>'6-x'!N430</f>
        <v>1757.1</v>
      </c>
      <c r="G59" s="324">
        <f>'6-x'!O430</f>
        <v>1.8</v>
      </c>
      <c r="H59" s="279">
        <f>'6-x'!P430</f>
        <v>2346.8000000000002</v>
      </c>
    </row>
    <row r="60" spans="1:8">
      <c r="A60" s="257" t="s">
        <v>388</v>
      </c>
      <c r="B60" s="324">
        <f>'6-x'!J431</f>
        <v>0</v>
      </c>
      <c r="C60" s="324">
        <f>'6-x'!K431</f>
        <v>0.05</v>
      </c>
      <c r="D60" s="324">
        <f>'6-x'!L431</f>
        <v>0</v>
      </c>
      <c r="E60" s="324">
        <f>'6-x'!M431</f>
        <v>0</v>
      </c>
      <c r="F60" s="324">
        <f>'6-x'!N431</f>
        <v>0</v>
      </c>
      <c r="G60" s="324">
        <f>'6-x'!O431</f>
        <v>0.05</v>
      </c>
      <c r="H60" s="279">
        <f>'6-x'!P431</f>
        <v>0.1</v>
      </c>
    </row>
    <row r="61" spans="1:8" ht="15.6">
      <c r="A61" s="360"/>
      <c r="B61" s="360"/>
      <c r="C61" s="360"/>
      <c r="D61" s="360"/>
      <c r="E61" s="360"/>
      <c r="F61" s="360"/>
      <c r="G61" s="360"/>
      <c r="H61" s="360"/>
    </row>
    <row r="62" spans="1:8" ht="15.6">
      <c r="A62" s="360"/>
      <c r="B62" s="360"/>
      <c r="C62" s="360"/>
      <c r="D62" s="360"/>
      <c r="E62" s="360"/>
      <c r="F62" s="360"/>
      <c r="G62" s="360"/>
      <c r="H62" s="360"/>
    </row>
    <row r="63" spans="1:8">
      <c r="B63" s="895" t="s">
        <v>11</v>
      </c>
      <c r="C63" s="895"/>
      <c r="D63" s="895"/>
      <c r="E63" s="895"/>
      <c r="F63" s="895"/>
      <c r="G63" s="895"/>
      <c r="H63" s="895"/>
    </row>
    <row r="64" spans="1:8" ht="28.8">
      <c r="B64" s="281" t="s">
        <v>5</v>
      </c>
      <c r="C64" s="281" t="s">
        <v>64</v>
      </c>
      <c r="D64" s="281" t="s">
        <v>7</v>
      </c>
      <c r="E64" s="281" t="s">
        <v>8</v>
      </c>
      <c r="F64" s="281" t="s">
        <v>267</v>
      </c>
      <c r="G64" s="281" t="s">
        <v>268</v>
      </c>
      <c r="H64" s="281" t="s">
        <v>10</v>
      </c>
    </row>
    <row r="65" spans="1:8">
      <c r="A65" s="283">
        <v>2018</v>
      </c>
      <c r="B65" s="896" t="s">
        <v>200</v>
      </c>
      <c r="C65" s="897"/>
      <c r="D65" s="897"/>
      <c r="E65" s="897"/>
      <c r="F65" s="897"/>
      <c r="G65" s="897"/>
      <c r="H65" s="898"/>
    </row>
    <row r="66" spans="1:8">
      <c r="A66" s="258" t="s">
        <v>287</v>
      </c>
      <c r="B66" s="279">
        <f>'6-x'!J517</f>
        <v>66.7</v>
      </c>
      <c r="C66" s="279">
        <f>'6-x'!K517</f>
        <v>15574.1</v>
      </c>
      <c r="D66" s="279">
        <f>'6-x'!L517</f>
        <v>615.21</v>
      </c>
      <c r="E66" s="279">
        <f>'6-x'!M517</f>
        <v>794.5</v>
      </c>
      <c r="F66" s="279">
        <f>'6-x'!N517</f>
        <v>3870.66</v>
      </c>
      <c r="G66" s="279">
        <f>'6-x'!O517</f>
        <v>1154.3</v>
      </c>
      <c r="H66" s="279">
        <f>'6-x'!P517</f>
        <v>22075.47</v>
      </c>
    </row>
    <row r="67" spans="1:8">
      <c r="A67" s="257" t="s">
        <v>25</v>
      </c>
      <c r="B67" s="324">
        <f>'6-x'!J518</f>
        <v>0</v>
      </c>
      <c r="C67" s="324">
        <f>'6-x'!K518</f>
        <v>2065.21</v>
      </c>
      <c r="D67" s="324">
        <f>'6-x'!L518</f>
        <v>34.81</v>
      </c>
      <c r="E67" s="324">
        <f>'6-x'!M518</f>
        <v>8.3000000000000007</v>
      </c>
      <c r="F67" s="324">
        <f>'6-x'!N518</f>
        <v>570.20000000000005</v>
      </c>
      <c r="G67" s="324">
        <f>'6-x'!O518</f>
        <v>1143.0999999999999</v>
      </c>
      <c r="H67" s="279">
        <f>'6-x'!P518</f>
        <v>3821.6200000000003</v>
      </c>
    </row>
    <row r="68" spans="1:8">
      <c r="A68" s="257" t="s">
        <v>26</v>
      </c>
      <c r="B68" s="324">
        <f>'6-x'!J519</f>
        <v>0</v>
      </c>
      <c r="C68" s="324">
        <f>'6-x'!K519</f>
        <v>1246.5999999999999</v>
      </c>
      <c r="D68" s="324">
        <f>'6-x'!L519</f>
        <v>0</v>
      </c>
      <c r="E68" s="324">
        <f>'6-x'!M519</f>
        <v>91.6</v>
      </c>
      <c r="F68" s="324">
        <f>'6-x'!N519</f>
        <v>14</v>
      </c>
      <c r="G68" s="324">
        <f>'6-x'!O519</f>
        <v>1.2</v>
      </c>
      <c r="H68" s="279">
        <f>'6-x'!P519</f>
        <v>1353.3999999999999</v>
      </c>
    </row>
    <row r="69" spans="1:8">
      <c r="A69" s="257" t="s">
        <v>27</v>
      </c>
      <c r="B69" s="324">
        <f>'6-x'!J520</f>
        <v>54.7</v>
      </c>
      <c r="C69" s="324">
        <f>'6-x'!K520</f>
        <v>11780.55</v>
      </c>
      <c r="D69" s="324">
        <f>'6-x'!L520</f>
        <v>346.4</v>
      </c>
      <c r="E69" s="324">
        <f>'6-x'!M520</f>
        <v>482.4</v>
      </c>
      <c r="F69" s="324">
        <f>'6-x'!N520</f>
        <v>1315.25</v>
      </c>
      <c r="G69" s="324">
        <f>'6-x'!O520</f>
        <v>6.3</v>
      </c>
      <c r="H69" s="279">
        <f>'6-x'!P520</f>
        <v>13985.599999999999</v>
      </c>
    </row>
    <row r="70" spans="1:8">
      <c r="A70" s="257" t="s">
        <v>28</v>
      </c>
      <c r="B70" s="324">
        <f>'6-x'!J521</f>
        <v>12</v>
      </c>
      <c r="C70" s="324">
        <f>'6-x'!K521</f>
        <v>276.54000000000002</v>
      </c>
      <c r="D70" s="324">
        <f>'6-x'!L521</f>
        <v>0</v>
      </c>
      <c r="E70" s="324">
        <f>'6-x'!M521</f>
        <v>101.7</v>
      </c>
      <c r="F70" s="324">
        <f>'6-x'!N521</f>
        <v>205.71</v>
      </c>
      <c r="G70" s="324">
        <f>'6-x'!O521</f>
        <v>0</v>
      </c>
      <c r="H70" s="279">
        <f>'6-x'!P521</f>
        <v>595.95000000000005</v>
      </c>
    </row>
    <row r="71" spans="1:8">
      <c r="A71" s="257" t="s">
        <v>29</v>
      </c>
      <c r="B71" s="324">
        <f>'6-x'!J522</f>
        <v>0</v>
      </c>
      <c r="C71" s="324">
        <f>'6-x'!K522</f>
        <v>205.2</v>
      </c>
      <c r="D71" s="324">
        <f>'6-x'!L522</f>
        <v>234</v>
      </c>
      <c r="E71" s="324">
        <f>'6-x'!M522</f>
        <v>110.5</v>
      </c>
      <c r="F71" s="324">
        <f>'6-x'!N522</f>
        <v>1765.5</v>
      </c>
      <c r="G71" s="324">
        <f>'6-x'!O522</f>
        <v>3.7</v>
      </c>
      <c r="H71" s="279">
        <f>'6-x'!P522</f>
        <v>2318.8999999999996</v>
      </c>
    </row>
    <row r="72" spans="1:8">
      <c r="A72" s="257" t="s">
        <v>388</v>
      </c>
      <c r="B72" s="324">
        <f>'6-x'!J523</f>
        <v>0</v>
      </c>
      <c r="C72" s="324">
        <f>'6-x'!K523</f>
        <v>0</v>
      </c>
      <c r="D72" s="324">
        <f>'6-x'!L523</f>
        <v>0</v>
      </c>
      <c r="E72" s="324">
        <f>'6-x'!M523</f>
        <v>0</v>
      </c>
      <c r="F72" s="324">
        <f>'6-x'!N523</f>
        <v>0</v>
      </c>
      <c r="G72" s="324">
        <f>'6-x'!O523</f>
        <v>0</v>
      </c>
      <c r="H72" s="279">
        <f>'6-x'!P523</f>
        <v>0</v>
      </c>
    </row>
    <row r="73" spans="1:8" ht="15.6">
      <c r="A73" s="360"/>
      <c r="B73" s="360"/>
      <c r="C73" s="360"/>
      <c r="D73" s="360"/>
      <c r="E73" s="360"/>
      <c r="F73" s="360"/>
      <c r="G73" s="360"/>
      <c r="H73" s="360"/>
    </row>
    <row r="74" spans="1:8" ht="15.6">
      <c r="A74" s="360"/>
      <c r="B74" s="360"/>
      <c r="C74" s="360"/>
      <c r="D74" s="360"/>
      <c r="E74" s="360"/>
      <c r="F74" s="360"/>
      <c r="G74" s="360"/>
      <c r="H74" s="360"/>
    </row>
    <row r="75" spans="1:8">
      <c r="B75" s="895" t="s">
        <v>11</v>
      </c>
      <c r="C75" s="895"/>
      <c r="D75" s="895"/>
      <c r="E75" s="895"/>
      <c r="F75" s="895"/>
      <c r="G75" s="895"/>
      <c r="H75" s="895"/>
    </row>
    <row r="76" spans="1:8" ht="28.8">
      <c r="B76" s="281" t="s">
        <v>5</v>
      </c>
      <c r="C76" s="281" t="s">
        <v>64</v>
      </c>
      <c r="D76" s="281" t="s">
        <v>7</v>
      </c>
      <c r="E76" s="281" t="s">
        <v>8</v>
      </c>
      <c r="F76" s="281" t="s">
        <v>267</v>
      </c>
      <c r="G76" s="281" t="s">
        <v>268</v>
      </c>
      <c r="H76" s="281" t="s">
        <v>10</v>
      </c>
    </row>
    <row r="77" spans="1:8">
      <c r="A77" s="283">
        <v>2017</v>
      </c>
      <c r="B77" s="896" t="s">
        <v>200</v>
      </c>
      <c r="C77" s="897"/>
      <c r="D77" s="897"/>
      <c r="E77" s="897"/>
      <c r="F77" s="897"/>
      <c r="G77" s="897"/>
      <c r="H77" s="898"/>
    </row>
    <row r="78" spans="1:8">
      <c r="A78" s="258" t="s">
        <v>287</v>
      </c>
      <c r="B78" s="279">
        <f>'6-x'!J604</f>
        <v>66.400000000000006</v>
      </c>
      <c r="C78" s="279">
        <f>'6-x'!K604</f>
        <v>16485.7</v>
      </c>
      <c r="D78" s="279">
        <f>'6-x'!L604</f>
        <v>615.70000000000005</v>
      </c>
      <c r="E78" s="279">
        <f>'6-x'!M604</f>
        <v>829.2</v>
      </c>
      <c r="F78" s="279">
        <f>'6-x'!N604</f>
        <v>3771.2999999999997</v>
      </c>
      <c r="G78" s="279">
        <f>'6-x'!O604</f>
        <v>1155.5999999999999</v>
      </c>
      <c r="H78" s="279">
        <f>'6-x'!P604</f>
        <v>22923.9</v>
      </c>
    </row>
    <row r="79" spans="1:8">
      <c r="A79" s="257" t="s">
        <v>25</v>
      </c>
      <c r="B79" s="324">
        <f>'6-x'!J605</f>
        <v>0</v>
      </c>
      <c r="C79" s="324">
        <f>'6-x'!K605</f>
        <v>1919.1</v>
      </c>
      <c r="D79" s="324">
        <f>'6-x'!L605</f>
        <v>30.7</v>
      </c>
      <c r="E79" s="324">
        <f>'6-x'!M605</f>
        <v>8.8000000000000007</v>
      </c>
      <c r="F79" s="324">
        <f>'6-x'!N605</f>
        <v>539.20000000000005</v>
      </c>
      <c r="G79" s="324">
        <f>'6-x'!O605</f>
        <v>1145.3</v>
      </c>
      <c r="H79" s="279">
        <f>'6-x'!P605</f>
        <v>3643.1000000000004</v>
      </c>
    </row>
    <row r="80" spans="1:8">
      <c r="A80" s="257" t="s">
        <v>26</v>
      </c>
      <c r="B80" s="324">
        <f>'6-x'!J606</f>
        <v>0</v>
      </c>
      <c r="C80" s="324">
        <f>'6-x'!K606</f>
        <v>1231.0999999999999</v>
      </c>
      <c r="D80" s="324">
        <f>'6-x'!L606</f>
        <v>0</v>
      </c>
      <c r="E80" s="324">
        <f>'6-x'!M606</f>
        <v>129.1</v>
      </c>
      <c r="F80" s="324">
        <f>'6-x'!N606</f>
        <v>9.4</v>
      </c>
      <c r="G80" s="324">
        <f>'6-x'!O606</f>
        <v>1.1000000000000001</v>
      </c>
      <c r="H80" s="279">
        <f>'6-x'!P606</f>
        <v>1370.6999999999998</v>
      </c>
    </row>
    <row r="81" spans="1:16">
      <c r="A81" s="257" t="s">
        <v>27</v>
      </c>
      <c r="B81" s="324">
        <f>'6-x'!J607</f>
        <v>54.2</v>
      </c>
      <c r="C81" s="324">
        <f>'6-x'!K607</f>
        <v>12786.4</v>
      </c>
      <c r="D81" s="324">
        <f>'6-x'!L607</f>
        <v>341</v>
      </c>
      <c r="E81" s="324">
        <f>'6-x'!M607</f>
        <v>451.7</v>
      </c>
      <c r="F81" s="324">
        <f>'6-x'!N607</f>
        <v>1269.0999999999999</v>
      </c>
      <c r="G81" s="324">
        <f>'6-x'!O607</f>
        <v>6.4</v>
      </c>
      <c r="H81" s="279">
        <f>'6-x'!P607</f>
        <v>14908.800000000001</v>
      </c>
    </row>
    <row r="82" spans="1:16">
      <c r="A82" s="257" t="s">
        <v>28</v>
      </c>
      <c r="B82" s="324">
        <f>'6-x'!J608</f>
        <v>12.2</v>
      </c>
      <c r="C82" s="324">
        <f>'6-x'!K608</f>
        <v>294.7</v>
      </c>
      <c r="D82" s="324">
        <f>'6-x'!L608</f>
        <v>0</v>
      </c>
      <c r="E82" s="324">
        <f>'6-x'!M608</f>
        <v>95.5</v>
      </c>
      <c r="F82" s="324">
        <f>'6-x'!N608</f>
        <v>208.6</v>
      </c>
      <c r="G82" s="324">
        <f>'6-x'!O608</f>
        <v>0</v>
      </c>
      <c r="H82" s="279">
        <f>'6-x'!P608</f>
        <v>611</v>
      </c>
    </row>
    <row r="83" spans="1:16">
      <c r="A83" s="257" t="s">
        <v>29</v>
      </c>
      <c r="B83" s="324">
        <f>'6-x'!J609</f>
        <v>0</v>
      </c>
      <c r="C83" s="324">
        <f>'6-x'!K609</f>
        <v>254.4</v>
      </c>
      <c r="D83" s="324">
        <f>'6-x'!L609</f>
        <v>244</v>
      </c>
      <c r="E83" s="324">
        <f>'6-x'!M609</f>
        <v>144.1</v>
      </c>
      <c r="F83" s="324">
        <f>'6-x'!N609</f>
        <v>1745</v>
      </c>
      <c r="G83" s="324">
        <f>'6-x'!O609</f>
        <v>2.8</v>
      </c>
      <c r="H83" s="279">
        <f>'6-x'!P609</f>
        <v>2390.3000000000002</v>
      </c>
    </row>
    <row r="84" spans="1:16" ht="15.6">
      <c r="A84" s="360"/>
      <c r="B84" s="360"/>
      <c r="C84" s="360"/>
      <c r="D84" s="360"/>
      <c r="E84" s="360"/>
      <c r="F84" s="360"/>
      <c r="G84" s="360"/>
      <c r="H84" s="360"/>
    </row>
    <row r="85" spans="1:16" ht="15.6">
      <c r="A85" s="360"/>
      <c r="B85" s="360"/>
      <c r="C85" s="360"/>
      <c r="D85" s="360"/>
      <c r="E85" s="360"/>
      <c r="F85" s="360"/>
      <c r="G85" s="360"/>
      <c r="H85" s="360"/>
    </row>
    <row r="86" spans="1:16">
      <c r="B86" s="895" t="s">
        <v>11</v>
      </c>
      <c r="C86" s="895"/>
      <c r="D86" s="895"/>
      <c r="E86" s="895"/>
      <c r="F86" s="895"/>
      <c r="G86" s="895"/>
      <c r="H86" s="895"/>
    </row>
    <row r="87" spans="1:16" ht="28.8">
      <c r="B87" s="281" t="s">
        <v>5</v>
      </c>
      <c r="C87" s="281" t="s">
        <v>64</v>
      </c>
      <c r="D87" s="281" t="s">
        <v>7</v>
      </c>
      <c r="E87" s="281" t="s">
        <v>8</v>
      </c>
      <c r="F87" s="281" t="s">
        <v>267</v>
      </c>
      <c r="G87" s="281" t="s">
        <v>268</v>
      </c>
      <c r="H87" s="281" t="s">
        <v>10</v>
      </c>
    </row>
    <row r="88" spans="1:16" ht="14.7" customHeight="1">
      <c r="A88" s="283">
        <v>2016</v>
      </c>
      <c r="B88" s="896" t="s">
        <v>200</v>
      </c>
      <c r="C88" s="897"/>
      <c r="D88" s="897"/>
      <c r="E88" s="897"/>
      <c r="F88" s="897"/>
      <c r="G88" s="897"/>
      <c r="H88" s="898"/>
    </row>
    <row r="89" spans="1:16">
      <c r="A89" s="258" t="s">
        <v>287</v>
      </c>
      <c r="B89" s="279">
        <f>'6-x'!J689</f>
        <v>65.3</v>
      </c>
      <c r="C89" s="279">
        <f>'6-x'!K689</f>
        <v>15571.5</v>
      </c>
      <c r="D89" s="279">
        <f>'6-x'!L689</f>
        <v>715.2</v>
      </c>
      <c r="E89" s="279">
        <f>'6-x'!M689</f>
        <v>854.1</v>
      </c>
      <c r="F89" s="279">
        <f>'6-x'!N689</f>
        <v>3848.5</v>
      </c>
      <c r="G89" s="279">
        <f>'6-x'!O689</f>
        <v>1109.5999999999999</v>
      </c>
      <c r="H89" s="279">
        <f>'6-x'!P689</f>
        <v>22164.199999999997</v>
      </c>
      <c r="I89" s="284"/>
      <c r="J89" s="112"/>
      <c r="K89" s="112"/>
      <c r="L89" s="112"/>
      <c r="M89" s="112"/>
      <c r="N89" s="112"/>
      <c r="O89" s="112"/>
      <c r="P89" s="112"/>
    </row>
    <row r="90" spans="1:16">
      <c r="A90" s="257" t="s">
        <v>25</v>
      </c>
      <c r="B90" s="324">
        <f>'6-x'!J690</f>
        <v>0</v>
      </c>
      <c r="C90" s="324">
        <f>'6-x'!K690</f>
        <v>1725.7</v>
      </c>
      <c r="D90" s="324">
        <f>'6-x'!L690</f>
        <v>31.6</v>
      </c>
      <c r="E90" s="324">
        <f>'6-x'!M690</f>
        <v>6.4</v>
      </c>
      <c r="F90" s="324">
        <f>'6-x'!N690</f>
        <v>534.20000000000005</v>
      </c>
      <c r="G90" s="324">
        <f>'6-x'!O690</f>
        <v>1100</v>
      </c>
      <c r="H90" s="279">
        <f>'6-x'!P690</f>
        <v>3397.9</v>
      </c>
      <c r="I90" s="284"/>
      <c r="J90" s="112"/>
      <c r="K90" s="112"/>
      <c r="L90" s="112"/>
      <c r="M90" s="112"/>
      <c r="N90" s="112"/>
      <c r="O90" s="112"/>
      <c r="P90" s="112"/>
    </row>
    <row r="91" spans="1:16">
      <c r="A91" s="257" t="s">
        <v>26</v>
      </c>
      <c r="B91" s="324">
        <f>'6-x'!J691</f>
        <v>0</v>
      </c>
      <c r="C91" s="324">
        <f>'6-x'!K691</f>
        <v>1223.3</v>
      </c>
      <c r="D91" s="324">
        <f>'6-x'!L691</f>
        <v>0</v>
      </c>
      <c r="E91" s="324">
        <f>'6-x'!M691</f>
        <v>118.1</v>
      </c>
      <c r="F91" s="324">
        <f>'6-x'!N691</f>
        <v>8.1999999999999993</v>
      </c>
      <c r="G91" s="324">
        <f>'6-x'!O691</f>
        <v>1.3</v>
      </c>
      <c r="H91" s="279">
        <f>'6-x'!P691</f>
        <v>1350.8999999999999</v>
      </c>
      <c r="I91" s="284"/>
      <c r="J91" s="112"/>
      <c r="K91" s="112"/>
      <c r="L91" s="112"/>
      <c r="M91" s="112"/>
      <c r="N91" s="112"/>
      <c r="O91" s="112"/>
      <c r="P91" s="112"/>
    </row>
    <row r="92" spans="1:16">
      <c r="A92" s="257" t="s">
        <v>27</v>
      </c>
      <c r="B92" s="324">
        <f>'6-x'!J692</f>
        <v>54.7</v>
      </c>
      <c r="C92" s="324">
        <f>'6-x'!K692</f>
        <v>12081</v>
      </c>
      <c r="D92" s="324">
        <f>'6-x'!L692</f>
        <v>371.7</v>
      </c>
      <c r="E92" s="324">
        <f>'6-x'!M692</f>
        <v>502.7</v>
      </c>
      <c r="F92" s="324">
        <f>'6-x'!N692</f>
        <v>1369.9</v>
      </c>
      <c r="G92" s="324">
        <f>'6-x'!O692</f>
        <v>6.3</v>
      </c>
      <c r="H92" s="279">
        <f>'6-x'!P692</f>
        <v>14386.300000000001</v>
      </c>
      <c r="I92" s="284"/>
      <c r="J92" s="112"/>
      <c r="K92" s="112"/>
      <c r="L92" s="112"/>
      <c r="M92" s="112"/>
      <c r="N92" s="112"/>
      <c r="O92" s="112"/>
      <c r="P92" s="112"/>
    </row>
    <row r="93" spans="1:16">
      <c r="A93" s="257" t="s">
        <v>28</v>
      </c>
      <c r="B93" s="324">
        <f>'6-x'!J693</f>
        <v>10.6</v>
      </c>
      <c r="C93" s="324">
        <f>'6-x'!K693</f>
        <v>324.7</v>
      </c>
      <c r="D93" s="324">
        <f>'6-x'!L693</f>
        <v>0</v>
      </c>
      <c r="E93" s="324">
        <f>'6-x'!M693</f>
        <v>112.9</v>
      </c>
      <c r="F93" s="324">
        <f>'6-x'!N693</f>
        <v>209.6</v>
      </c>
      <c r="G93" s="324">
        <f>'6-x'!O693</f>
        <v>0.1</v>
      </c>
      <c r="H93" s="279">
        <f>'6-x'!P693</f>
        <v>657.90000000000009</v>
      </c>
      <c r="I93" s="284"/>
      <c r="J93" s="112"/>
      <c r="K93" s="112"/>
      <c r="L93" s="112"/>
      <c r="M93" s="112"/>
      <c r="N93" s="112"/>
      <c r="O93" s="112"/>
      <c r="P93" s="112"/>
    </row>
    <row r="94" spans="1:16">
      <c r="A94" s="257" t="s">
        <v>29</v>
      </c>
      <c r="B94" s="324">
        <f>'6-x'!J694</f>
        <v>0</v>
      </c>
      <c r="C94" s="324">
        <f>'6-x'!K694</f>
        <v>216.8</v>
      </c>
      <c r="D94" s="324">
        <f>'6-x'!L694</f>
        <v>311.89999999999998</v>
      </c>
      <c r="E94" s="324">
        <f>'6-x'!M694</f>
        <v>114</v>
      </c>
      <c r="F94" s="324">
        <f>'6-x'!N694</f>
        <v>1726.6</v>
      </c>
      <c r="G94" s="324">
        <f>'6-x'!O694</f>
        <v>1.9</v>
      </c>
      <c r="H94" s="279">
        <f>'6-x'!P694</f>
        <v>2371.2000000000003</v>
      </c>
      <c r="I94" s="284"/>
      <c r="J94" s="112"/>
      <c r="K94" s="112"/>
      <c r="L94" s="112"/>
      <c r="M94" s="112"/>
      <c r="N94" s="112"/>
      <c r="O94" s="112"/>
      <c r="P94" s="112"/>
    </row>
    <row r="97" spans="1:16" ht="14.7" customHeight="1">
      <c r="A97" s="283">
        <v>2015</v>
      </c>
      <c r="B97" s="896" t="s">
        <v>200</v>
      </c>
      <c r="C97" s="897"/>
      <c r="D97" s="897"/>
      <c r="E97" s="897"/>
      <c r="F97" s="897"/>
      <c r="G97" s="897"/>
      <c r="H97" s="898"/>
    </row>
    <row r="98" spans="1:16">
      <c r="A98" s="258" t="s">
        <v>287</v>
      </c>
      <c r="B98" s="279">
        <f>'6-x'!J774</f>
        <v>66.3</v>
      </c>
      <c r="C98" s="279">
        <f>'6-x'!K774</f>
        <v>14278.699999999999</v>
      </c>
      <c r="D98" s="279">
        <f>'6-x'!L774</f>
        <v>566.29999999999995</v>
      </c>
      <c r="E98" s="279">
        <f>'6-x'!M774</f>
        <v>932.10200000000009</v>
      </c>
      <c r="F98" s="279">
        <f>'6-x'!N774</f>
        <v>3714.8490000000002</v>
      </c>
      <c r="G98" s="279">
        <f>'6-x'!O774</f>
        <v>1096.049</v>
      </c>
      <c r="H98" s="279">
        <f>'6-x'!P774</f>
        <v>20654.299999999996</v>
      </c>
      <c r="I98" s="285"/>
      <c r="J98" s="112"/>
      <c r="K98" s="112"/>
      <c r="L98" s="112"/>
      <c r="M98" s="112"/>
      <c r="N98" s="112"/>
      <c r="O98" s="112"/>
      <c r="P98" s="112"/>
    </row>
    <row r="99" spans="1:16">
      <c r="A99" s="257" t="s">
        <v>25</v>
      </c>
      <c r="B99" s="324">
        <f>'6-x'!J775</f>
        <v>0</v>
      </c>
      <c r="C99" s="324">
        <f>'6-x'!K775</f>
        <v>1581.7</v>
      </c>
      <c r="D99" s="324">
        <f>'6-x'!L775</f>
        <v>31</v>
      </c>
      <c r="E99" s="324">
        <f>'6-x'!M775</f>
        <v>7.3019999999999996</v>
      </c>
      <c r="F99" s="324">
        <f>'6-x'!N775</f>
        <v>535.649</v>
      </c>
      <c r="G99" s="324">
        <f>'6-x'!O775</f>
        <v>1086.8489999999999</v>
      </c>
      <c r="H99" s="279">
        <f>'6-x'!P775</f>
        <v>3242.5</v>
      </c>
      <c r="I99" s="285"/>
      <c r="J99" s="112"/>
      <c r="K99" s="112"/>
      <c r="L99" s="112"/>
      <c r="M99" s="112"/>
      <c r="N99" s="112"/>
      <c r="O99" s="112"/>
      <c r="P99" s="112"/>
    </row>
    <row r="100" spans="1:16">
      <c r="A100" s="257" t="s">
        <v>26</v>
      </c>
      <c r="B100" s="324">
        <f>'6-x'!J776</f>
        <v>0</v>
      </c>
      <c r="C100" s="324">
        <f>'6-x'!K776</f>
        <v>1176.9000000000001</v>
      </c>
      <c r="D100" s="324">
        <f>'6-x'!L776</f>
        <v>0</v>
      </c>
      <c r="E100" s="324">
        <f>'6-x'!M776</f>
        <v>117.3</v>
      </c>
      <c r="F100" s="324">
        <f>'6-x'!N776</f>
        <v>8.5</v>
      </c>
      <c r="G100" s="324">
        <f>'6-x'!O776</f>
        <v>1.4</v>
      </c>
      <c r="H100" s="279">
        <f>'6-x'!P776</f>
        <v>1304.1000000000001</v>
      </c>
      <c r="I100" s="285"/>
      <c r="J100" s="112"/>
      <c r="K100" s="112"/>
      <c r="L100" s="112"/>
      <c r="M100" s="112"/>
      <c r="N100" s="112"/>
      <c r="O100" s="112"/>
      <c r="P100" s="112"/>
    </row>
    <row r="101" spans="1:16">
      <c r="A101" s="257" t="s">
        <v>27</v>
      </c>
      <c r="B101" s="324">
        <f>'6-x'!J777</f>
        <v>54.2</v>
      </c>
      <c r="C101" s="324">
        <f>'6-x'!K777</f>
        <v>10929.5</v>
      </c>
      <c r="D101" s="324">
        <f>'6-x'!L777</f>
        <v>216.5</v>
      </c>
      <c r="E101" s="324">
        <f>'6-x'!M777</f>
        <v>459.1</v>
      </c>
      <c r="F101" s="324">
        <f>'6-x'!N777</f>
        <v>1317.6</v>
      </c>
      <c r="G101" s="324">
        <f>'6-x'!O777</f>
        <v>6.4</v>
      </c>
      <c r="H101" s="279">
        <f>'6-x'!P777</f>
        <v>12983.300000000001</v>
      </c>
      <c r="I101" s="285"/>
      <c r="J101" s="112"/>
      <c r="K101" s="112"/>
      <c r="L101" s="112"/>
      <c r="M101" s="112"/>
      <c r="N101" s="112"/>
      <c r="O101" s="112"/>
      <c r="P101" s="112"/>
    </row>
    <row r="102" spans="1:16">
      <c r="A102" s="257" t="s">
        <v>28</v>
      </c>
      <c r="B102" s="324">
        <f>'6-x'!J778</f>
        <v>12.1</v>
      </c>
      <c r="C102" s="324">
        <f>'6-x'!K778</f>
        <v>305.3</v>
      </c>
      <c r="D102" s="324">
        <f>'6-x'!L778</f>
        <v>0</v>
      </c>
      <c r="E102" s="324">
        <f>'6-x'!M778</f>
        <v>161.69999999999999</v>
      </c>
      <c r="F102" s="324">
        <f>'6-x'!N778</f>
        <v>192.8</v>
      </c>
      <c r="G102" s="324">
        <f>'6-x'!O778</f>
        <v>0.3</v>
      </c>
      <c r="H102" s="279">
        <f>'6-x'!P778</f>
        <v>672.2</v>
      </c>
      <c r="I102" s="285"/>
      <c r="J102" s="112"/>
      <c r="K102" s="112"/>
      <c r="L102" s="112"/>
      <c r="M102" s="112"/>
      <c r="N102" s="112"/>
      <c r="O102" s="112"/>
      <c r="P102" s="112"/>
    </row>
    <row r="103" spans="1:16">
      <c r="A103" s="257" t="s">
        <v>29</v>
      </c>
      <c r="B103" s="324">
        <f>'6-x'!J779</f>
        <v>0</v>
      </c>
      <c r="C103" s="324">
        <f>'6-x'!K779</f>
        <v>285.3</v>
      </c>
      <c r="D103" s="324">
        <f>'6-x'!L779</f>
        <v>318.8</v>
      </c>
      <c r="E103" s="324">
        <f>'6-x'!M779</f>
        <v>186.7</v>
      </c>
      <c r="F103" s="324">
        <f>'6-x'!N779</f>
        <v>1660.3</v>
      </c>
      <c r="G103" s="324">
        <f>'6-x'!O779</f>
        <v>1.1000000000000001</v>
      </c>
      <c r="H103" s="279">
        <f>'6-x'!P779</f>
        <v>2452.1999999999998</v>
      </c>
      <c r="I103" s="285"/>
      <c r="J103" s="112"/>
      <c r="K103" s="112"/>
      <c r="L103" s="112"/>
      <c r="M103" s="112"/>
      <c r="N103" s="112"/>
      <c r="O103" s="112"/>
      <c r="P103" s="112"/>
    </row>
    <row r="106" spans="1:16" ht="14.7" customHeight="1">
      <c r="A106" s="283">
        <v>2010</v>
      </c>
      <c r="B106" s="896" t="s">
        <v>200</v>
      </c>
      <c r="C106" s="897"/>
      <c r="D106" s="897"/>
      <c r="E106" s="897"/>
      <c r="F106" s="897"/>
      <c r="G106" s="897"/>
      <c r="H106" s="898"/>
    </row>
    <row r="107" spans="1:16">
      <c r="A107" s="258" t="s">
        <v>287</v>
      </c>
      <c r="B107" s="279">
        <f>'6-x'!J858</f>
        <v>54.199999999999996</v>
      </c>
      <c r="C107" s="279">
        <f>'6-x'!K858</f>
        <v>16928</v>
      </c>
      <c r="D107" s="279">
        <f>'6-x'!L858</f>
        <v>825.4</v>
      </c>
      <c r="E107" s="279">
        <f>'6-x'!M858</f>
        <v>2183.1999999999998</v>
      </c>
      <c r="F107" s="279">
        <f>'6-x'!N858</f>
        <v>3860.05</v>
      </c>
      <c r="G107" s="279">
        <f>'6-x'!O858</f>
        <v>147.94999999999999</v>
      </c>
      <c r="H107" s="279">
        <f>'6-x'!P858</f>
        <v>23998.800000000003</v>
      </c>
      <c r="I107" s="284"/>
      <c r="J107" s="112"/>
      <c r="K107" s="112"/>
      <c r="L107" s="112"/>
      <c r="M107" s="112"/>
      <c r="N107" s="112"/>
      <c r="O107" s="112"/>
      <c r="P107" s="112"/>
    </row>
    <row r="108" spans="1:16">
      <c r="A108" s="257" t="s">
        <v>25</v>
      </c>
      <c r="B108" s="324">
        <f>'6-x'!J859</f>
        <v>0</v>
      </c>
      <c r="C108" s="324">
        <f>'6-x'!K859</f>
        <v>993.7</v>
      </c>
      <c r="D108" s="324">
        <f>'6-x'!L859</f>
        <v>33.700000000000003</v>
      </c>
      <c r="E108" s="324">
        <f>'6-x'!M859</f>
        <v>13.6</v>
      </c>
      <c r="F108" s="324">
        <f>'6-x'!N859</f>
        <v>215.55</v>
      </c>
      <c r="G108" s="324">
        <f>'6-x'!O859</f>
        <v>111.35</v>
      </c>
      <c r="H108" s="279">
        <f>'6-x'!P859</f>
        <v>1367.8999999999999</v>
      </c>
      <c r="I108" s="284"/>
      <c r="J108" s="112"/>
      <c r="K108" s="112"/>
      <c r="L108" s="112"/>
      <c r="M108" s="112"/>
      <c r="N108" s="112"/>
      <c r="O108" s="112"/>
      <c r="P108" s="112"/>
    </row>
    <row r="109" spans="1:16">
      <c r="A109" s="257" t="s">
        <v>26</v>
      </c>
      <c r="B109" s="324">
        <f>'6-x'!J860</f>
        <v>0</v>
      </c>
      <c r="C109" s="324">
        <f>'6-x'!K860</f>
        <v>936.7</v>
      </c>
      <c r="D109" s="324">
        <f>'6-x'!L860</f>
        <v>0.1</v>
      </c>
      <c r="E109" s="324">
        <f>'6-x'!M860</f>
        <v>165.6</v>
      </c>
      <c r="F109" s="324">
        <f>'6-x'!N860</f>
        <v>0</v>
      </c>
      <c r="G109" s="324">
        <f>'6-x'!O860</f>
        <v>0.4</v>
      </c>
      <c r="H109" s="279">
        <f>'6-x'!P860</f>
        <v>1102.8000000000002</v>
      </c>
      <c r="I109" s="284"/>
      <c r="J109" s="112"/>
      <c r="K109" s="112"/>
      <c r="L109" s="112"/>
      <c r="M109" s="112"/>
      <c r="N109" s="112"/>
      <c r="O109" s="112"/>
      <c r="P109" s="112"/>
    </row>
    <row r="110" spans="1:16">
      <c r="A110" s="257" t="s">
        <v>27</v>
      </c>
      <c r="B110" s="324">
        <f>'6-x'!J861</f>
        <v>37.799999999999997</v>
      </c>
      <c r="C110" s="324">
        <f>'6-x'!K861</f>
        <v>14161.6</v>
      </c>
      <c r="D110" s="324">
        <f>'6-x'!L861</f>
        <v>757.6</v>
      </c>
      <c r="E110" s="324">
        <f>'6-x'!M861</f>
        <v>653</v>
      </c>
      <c r="F110" s="324">
        <f>'6-x'!N861</f>
        <v>2164.9</v>
      </c>
      <c r="G110" s="324">
        <f>'6-x'!O861</f>
        <v>0.6</v>
      </c>
      <c r="H110" s="279">
        <f>'6-x'!P861</f>
        <v>17775.5</v>
      </c>
      <c r="I110" s="284"/>
      <c r="J110" s="112"/>
      <c r="K110" s="112"/>
      <c r="L110" s="112"/>
      <c r="M110" s="112"/>
      <c r="N110" s="112"/>
      <c r="O110" s="112"/>
      <c r="P110" s="112"/>
    </row>
    <row r="111" spans="1:16">
      <c r="A111" s="257" t="s">
        <v>28</v>
      </c>
      <c r="B111" s="324">
        <f>'6-x'!J862</f>
        <v>16.399999999999999</v>
      </c>
      <c r="C111" s="324">
        <f>'6-x'!K862</f>
        <v>559.1</v>
      </c>
      <c r="D111" s="324">
        <f>'6-x'!L862</f>
        <v>0</v>
      </c>
      <c r="E111" s="324">
        <f>'6-x'!M862</f>
        <v>359.2</v>
      </c>
      <c r="F111" s="324">
        <f>'6-x'!N862</f>
        <v>195.8</v>
      </c>
      <c r="G111" s="324">
        <f>'6-x'!O862</f>
        <v>4.5</v>
      </c>
      <c r="H111" s="279">
        <f>'6-x'!P862</f>
        <v>1135</v>
      </c>
      <c r="I111" s="284"/>
      <c r="J111" s="112"/>
      <c r="K111" s="112"/>
      <c r="L111" s="112"/>
      <c r="M111" s="112"/>
      <c r="N111" s="112"/>
      <c r="O111" s="112"/>
      <c r="P111" s="112"/>
    </row>
    <row r="112" spans="1:16">
      <c r="A112" s="257" t="s">
        <v>29</v>
      </c>
      <c r="B112" s="324">
        <f>'6-x'!J863</f>
        <v>0</v>
      </c>
      <c r="C112" s="324">
        <f>'6-x'!K863</f>
        <v>276.89999999999998</v>
      </c>
      <c r="D112" s="324">
        <f>'6-x'!L863</f>
        <v>34</v>
      </c>
      <c r="E112" s="324">
        <f>'6-x'!M863</f>
        <v>991.8</v>
      </c>
      <c r="F112" s="324">
        <f>'6-x'!N863</f>
        <v>1283.8</v>
      </c>
      <c r="G112" s="324">
        <f>'6-x'!O863</f>
        <v>31.1</v>
      </c>
      <c r="H112" s="279">
        <f>'6-x'!P863</f>
        <v>2617.6</v>
      </c>
      <c r="I112" s="284"/>
      <c r="J112" s="112"/>
      <c r="K112" s="112"/>
      <c r="L112" s="112"/>
      <c r="M112" s="112"/>
      <c r="N112" s="112"/>
      <c r="O112" s="112"/>
      <c r="P112" s="112"/>
    </row>
    <row r="115" spans="1:16" ht="14.7" customHeight="1">
      <c r="A115" s="283">
        <v>2005</v>
      </c>
      <c r="B115" s="896" t="s">
        <v>200</v>
      </c>
      <c r="C115" s="897"/>
      <c r="D115" s="897"/>
      <c r="E115" s="897"/>
      <c r="F115" s="897"/>
      <c r="G115" s="897"/>
      <c r="H115" s="898"/>
    </row>
    <row r="116" spans="1:16">
      <c r="A116" s="258" t="s">
        <v>287</v>
      </c>
      <c r="B116" s="279">
        <f>'6-x'!J941</f>
        <v>168.7</v>
      </c>
      <c r="C116" s="279">
        <f>'6-x'!K941</f>
        <v>14285.640000000001</v>
      </c>
      <c r="D116" s="279">
        <f>'6-x'!L941</f>
        <v>840.04</v>
      </c>
      <c r="E116" s="279">
        <f>'6-x'!M941</f>
        <v>2958.91</v>
      </c>
      <c r="F116" s="279">
        <f>'6-x'!N941</f>
        <v>2879.51</v>
      </c>
      <c r="G116" s="279">
        <f>'6-x'!O941</f>
        <v>72.8</v>
      </c>
      <c r="H116" s="279">
        <f>'6-x'!P941</f>
        <v>21205.600000000002</v>
      </c>
      <c r="J116" s="112"/>
      <c r="K116" s="112"/>
      <c r="L116" s="112"/>
      <c r="M116" s="112"/>
      <c r="N116" s="112"/>
      <c r="O116" s="112"/>
      <c r="P116" s="112"/>
    </row>
    <row r="117" spans="1:16">
      <c r="A117" s="257" t="s">
        <v>25</v>
      </c>
      <c r="B117" s="324">
        <f>'6-x'!J942</f>
        <v>0</v>
      </c>
      <c r="C117" s="324">
        <f>'6-x'!K942</f>
        <v>422.2</v>
      </c>
      <c r="D117" s="324">
        <f>'6-x'!L942</f>
        <v>34.799999999999997</v>
      </c>
      <c r="E117" s="324">
        <f>'6-x'!M942</f>
        <v>19.600000000000001</v>
      </c>
      <c r="F117" s="324">
        <f>'6-x'!N942</f>
        <v>35</v>
      </c>
      <c r="G117" s="324">
        <f>'6-x'!O942</f>
        <v>30.4</v>
      </c>
      <c r="H117" s="279">
        <f>'6-x'!P942</f>
        <v>542</v>
      </c>
      <c r="J117" s="112"/>
      <c r="K117" s="112"/>
      <c r="L117" s="112"/>
      <c r="M117" s="112"/>
      <c r="N117" s="112"/>
      <c r="O117" s="112"/>
      <c r="P117" s="112"/>
    </row>
    <row r="118" spans="1:16">
      <c r="A118" s="257" t="s">
        <v>26</v>
      </c>
      <c r="B118" s="324">
        <f>'6-x'!J943</f>
        <v>0</v>
      </c>
      <c r="C118" s="324">
        <f>'6-x'!K943</f>
        <v>1509.5</v>
      </c>
      <c r="D118" s="324">
        <f>'6-x'!L943</f>
        <v>0</v>
      </c>
      <c r="E118" s="324">
        <f>'6-x'!M943</f>
        <v>175.1</v>
      </c>
      <c r="F118" s="324">
        <f>'6-x'!N943</f>
        <v>7.4</v>
      </c>
      <c r="G118" s="324">
        <f>'6-x'!O943</f>
        <v>0.2</v>
      </c>
      <c r="H118" s="279">
        <f>'6-x'!P943</f>
        <v>1692.2</v>
      </c>
      <c r="J118" s="112"/>
      <c r="K118" s="112"/>
      <c r="L118" s="112"/>
      <c r="M118" s="112"/>
      <c r="N118" s="112"/>
      <c r="O118" s="112"/>
      <c r="P118" s="112"/>
    </row>
    <row r="119" spans="1:16">
      <c r="A119" s="257" t="s">
        <v>27</v>
      </c>
      <c r="B119" s="324">
        <f>'6-x'!J944</f>
        <v>0</v>
      </c>
      <c r="C119" s="324">
        <f>'6-x'!K944</f>
        <v>10735.94</v>
      </c>
      <c r="D119" s="324">
        <f>'6-x'!L944</f>
        <v>716.34</v>
      </c>
      <c r="E119" s="324">
        <f>'6-x'!M944</f>
        <v>596.21</v>
      </c>
      <c r="F119" s="324">
        <f>'6-x'!N944</f>
        <v>1579.61</v>
      </c>
      <c r="G119" s="324">
        <f>'6-x'!O944</f>
        <v>0.7</v>
      </c>
      <c r="H119" s="279">
        <f>'6-x'!P944</f>
        <v>13628.800000000003</v>
      </c>
      <c r="J119" s="112"/>
      <c r="K119" s="112"/>
      <c r="L119" s="112"/>
      <c r="M119" s="112"/>
      <c r="N119" s="112"/>
      <c r="O119" s="112"/>
      <c r="P119" s="112"/>
    </row>
    <row r="120" spans="1:16">
      <c r="A120" s="257" t="s">
        <v>28</v>
      </c>
      <c r="B120" s="324">
        <f>'6-x'!J945</f>
        <v>168.7</v>
      </c>
      <c r="C120" s="324">
        <f>'6-x'!K945</f>
        <v>1187.4000000000001</v>
      </c>
      <c r="D120" s="324">
        <f>'6-x'!L945</f>
        <v>2.6</v>
      </c>
      <c r="E120" s="324">
        <f>'6-x'!M945</f>
        <v>629.5</v>
      </c>
      <c r="F120" s="324">
        <f>'6-x'!N945</f>
        <v>377</v>
      </c>
      <c r="G120" s="324">
        <f>'6-x'!O945</f>
        <v>8.9</v>
      </c>
      <c r="H120" s="279">
        <f>'6-x'!P945</f>
        <v>2374.1</v>
      </c>
      <c r="J120" s="112"/>
      <c r="K120" s="112"/>
      <c r="L120" s="112"/>
      <c r="M120" s="112"/>
      <c r="N120" s="112"/>
      <c r="O120" s="112"/>
      <c r="P120" s="112"/>
    </row>
    <row r="121" spans="1:16">
      <c r="A121" s="257" t="s">
        <v>29</v>
      </c>
      <c r="B121" s="324">
        <f>'6-x'!J946</f>
        <v>0</v>
      </c>
      <c r="C121" s="324">
        <f>'6-x'!K946</f>
        <v>430.6</v>
      </c>
      <c r="D121" s="324">
        <f>'6-x'!L946</f>
        <v>86.3</v>
      </c>
      <c r="E121" s="324">
        <f>'6-x'!M946</f>
        <v>1538.5</v>
      </c>
      <c r="F121" s="324">
        <f>'6-x'!N946</f>
        <v>880.5</v>
      </c>
      <c r="G121" s="324">
        <f>'6-x'!O946</f>
        <v>32.6</v>
      </c>
      <c r="H121" s="279">
        <f>'6-x'!P946</f>
        <v>2968.5</v>
      </c>
      <c r="J121" s="112"/>
      <c r="K121" s="112"/>
      <c r="L121" s="112"/>
      <c r="M121" s="112"/>
      <c r="N121" s="112"/>
      <c r="O121" s="112"/>
      <c r="P121" s="112"/>
    </row>
  </sheetData>
  <mergeCells count="20">
    <mergeCell ref="A2:H2"/>
    <mergeCell ref="B86:H86"/>
    <mergeCell ref="B88:H88"/>
    <mergeCell ref="B75:H75"/>
    <mergeCell ref="B77:H77"/>
    <mergeCell ref="B63:H63"/>
    <mergeCell ref="B65:H65"/>
    <mergeCell ref="B51:H51"/>
    <mergeCell ref="B53:H53"/>
    <mergeCell ref="B39:H39"/>
    <mergeCell ref="B41:H41"/>
    <mergeCell ref="B27:H27"/>
    <mergeCell ref="B29:H29"/>
    <mergeCell ref="B15:H15"/>
    <mergeCell ref="B17:H17"/>
    <mergeCell ref="B115:H115"/>
    <mergeCell ref="B97:H97"/>
    <mergeCell ref="B106:H106"/>
    <mergeCell ref="B3:H3"/>
    <mergeCell ref="B5:H5"/>
  </mergeCells>
  <hyperlinks>
    <hyperlink ref="A1" location="Indice!A1" display="Torna indietro"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9"/>
  <dimension ref="A1:I121"/>
  <sheetViews>
    <sheetView zoomScaleNormal="100" workbookViewId="0">
      <selection activeCell="L7" sqref="L7"/>
    </sheetView>
  </sheetViews>
  <sheetFormatPr defaultRowHeight="14.4"/>
  <cols>
    <col min="1" max="1" width="41.21875" customWidth="1"/>
    <col min="2" max="8" width="10.77734375" customWidth="1"/>
    <col min="10" max="10" width="9.77734375" bestFit="1" customWidth="1"/>
    <col min="11" max="13" width="9.21875" bestFit="1" customWidth="1"/>
  </cols>
  <sheetData>
    <row r="1" spans="1:8" ht="15.6">
      <c r="A1" s="113" t="s">
        <v>57</v>
      </c>
    </row>
    <row r="2" spans="1:8" ht="36" customHeight="1">
      <c r="A2" s="891" t="s">
        <v>477</v>
      </c>
      <c r="B2" s="891"/>
      <c r="C2" s="891"/>
      <c r="D2" s="891"/>
      <c r="E2" s="891"/>
      <c r="F2" s="891"/>
      <c r="G2" s="891"/>
      <c r="H2" s="891"/>
    </row>
    <row r="3" spans="1:8">
      <c r="B3" s="895" t="s">
        <v>11</v>
      </c>
      <c r="C3" s="895"/>
      <c r="D3" s="895"/>
      <c r="E3" s="895"/>
      <c r="F3" s="895"/>
      <c r="G3" s="895"/>
      <c r="H3" s="895"/>
    </row>
    <row r="4" spans="1:8" ht="28.8">
      <c r="B4" s="281" t="s">
        <v>5</v>
      </c>
      <c r="C4" s="281" t="s">
        <v>64</v>
      </c>
      <c r="D4" s="281" t="s">
        <v>7</v>
      </c>
      <c r="E4" s="281" t="s">
        <v>8</v>
      </c>
      <c r="F4" s="281" t="s">
        <v>267</v>
      </c>
      <c r="G4" s="281" t="s">
        <v>268</v>
      </c>
      <c r="H4" s="281" t="s">
        <v>10</v>
      </c>
    </row>
    <row r="5" spans="1:8">
      <c r="A5" s="283">
        <v>2023</v>
      </c>
      <c r="B5" s="896" t="s">
        <v>200</v>
      </c>
      <c r="C5" s="897"/>
      <c r="D5" s="897"/>
      <c r="E5" s="897"/>
      <c r="F5" s="897"/>
      <c r="G5" s="897"/>
      <c r="H5" s="898"/>
    </row>
    <row r="6" spans="1:8">
      <c r="A6" s="258" t="s">
        <v>287</v>
      </c>
      <c r="B6" s="279">
        <f>'6-x'!J50</f>
        <v>0</v>
      </c>
      <c r="C6" s="279">
        <f>'6-x'!K50</f>
        <v>2912.9647468233834</v>
      </c>
      <c r="D6" s="279">
        <f>'6-x'!L50</f>
        <v>46.847807402351997</v>
      </c>
      <c r="E6" s="279">
        <f>'6-x'!M50</f>
        <v>432.46603618442396</v>
      </c>
      <c r="F6" s="279">
        <f>'6-x'!N50</f>
        <v>717.47549452867202</v>
      </c>
      <c r="G6" s="279">
        <f>'6-x'!O50</f>
        <v>263.99828035283997</v>
      </c>
      <c r="H6" s="279">
        <f>'6-x'!P50</f>
        <v>4373.7523652916716</v>
      </c>
    </row>
    <row r="7" spans="1:8">
      <c r="A7" s="257" t="s">
        <v>25</v>
      </c>
      <c r="B7" s="324">
        <f>'6-x'!J51</f>
        <v>0</v>
      </c>
      <c r="C7" s="324">
        <f>'6-x'!K51</f>
        <v>779.38091156376004</v>
      </c>
      <c r="D7" s="324">
        <f>'6-x'!L51</f>
        <v>8.7618228733199999</v>
      </c>
      <c r="E7" s="324">
        <f>'6-x'!M51</f>
        <v>1.14359415324</v>
      </c>
      <c r="F7" s="324">
        <f>'6-x'!N51</f>
        <v>132.61392951443997</v>
      </c>
      <c r="G7" s="324">
        <f>'6-x'!O51</f>
        <v>261.35855550287999</v>
      </c>
      <c r="H7" s="279">
        <f>'6-x'!P51</f>
        <v>1183.2588136076399</v>
      </c>
    </row>
    <row r="8" spans="1:8">
      <c r="A8" s="257" t="s">
        <v>26</v>
      </c>
      <c r="B8" s="324">
        <f>'6-x'!J52</f>
        <v>0</v>
      </c>
      <c r="C8" s="324">
        <f>'6-x'!K52</f>
        <v>683.64574387823995</v>
      </c>
      <c r="D8" s="324">
        <f>'6-x'!L52</f>
        <v>0</v>
      </c>
      <c r="E8" s="324">
        <f>'6-x'!M52</f>
        <v>44.539982810399998</v>
      </c>
      <c r="F8" s="324">
        <f>'6-x'!N52</f>
        <v>4.09286328528</v>
      </c>
      <c r="G8" s="324">
        <f>'6-x'!O52</f>
        <v>0.92003439395999986</v>
      </c>
      <c r="H8" s="279">
        <f>'6-x'!P52</f>
        <v>733.19862436788003</v>
      </c>
    </row>
    <row r="9" spans="1:8">
      <c r="A9" s="257" t="s">
        <v>27</v>
      </c>
      <c r="B9" s="324">
        <f>'6-x'!J53</f>
        <v>0</v>
      </c>
      <c r="C9" s="324">
        <f>'6-x'!K53</f>
        <v>1312.075666595232</v>
      </c>
      <c r="D9" s="324">
        <f>'6-x'!L53</f>
        <v>23.279449702872</v>
      </c>
      <c r="E9" s="324">
        <f>'6-x'!M53</f>
        <v>225.532244233032</v>
      </c>
      <c r="F9" s="324">
        <f>'6-x'!N53</f>
        <v>208.94239040399998</v>
      </c>
      <c r="G9" s="324">
        <f>'6-x'!O53</f>
        <v>1.6509028377599997</v>
      </c>
      <c r="H9" s="279">
        <f>'6-x'!P53</f>
        <v>1771.4806537728959</v>
      </c>
    </row>
    <row r="10" spans="1:8">
      <c r="A10" s="257" t="s">
        <v>28</v>
      </c>
      <c r="B10" s="324">
        <f>'6-x'!J54</f>
        <v>0</v>
      </c>
      <c r="C10" s="324">
        <f>'6-x'!K54</f>
        <v>91.447979378711992</v>
      </c>
      <c r="D10" s="324">
        <f>'6-x'!L54</f>
        <v>0</v>
      </c>
      <c r="E10" s="324">
        <f>'6-x'!M54</f>
        <v>84.560619102432</v>
      </c>
      <c r="F10" s="324">
        <f>'6-x'!N54</f>
        <v>91.181427358031996</v>
      </c>
      <c r="G10" s="324">
        <f>'6-x'!O54</f>
        <v>0</v>
      </c>
      <c r="H10" s="279">
        <f>'6-x'!P54</f>
        <v>267.19002583917597</v>
      </c>
    </row>
    <row r="11" spans="1:8">
      <c r="A11" s="257" t="s">
        <v>29</v>
      </c>
      <c r="B11" s="324">
        <f>'6-x'!J55</f>
        <v>0</v>
      </c>
      <c r="C11" s="324">
        <f>'6-x'!K55</f>
        <v>46.414445407439992</v>
      </c>
      <c r="D11" s="324">
        <f>'6-x'!L55</f>
        <v>14.806534826159998</v>
      </c>
      <c r="E11" s="324">
        <f>'6-x'!M55</f>
        <v>76.689595885320003</v>
      </c>
      <c r="F11" s="324">
        <f>'6-x'!N55</f>
        <v>280.64488396691996</v>
      </c>
      <c r="G11" s="324">
        <f>'6-x'!O55</f>
        <v>6.8787618240000001E-2</v>
      </c>
      <c r="H11" s="279">
        <f>'6-x'!P55</f>
        <v>418.62424770407995</v>
      </c>
    </row>
    <row r="12" spans="1:8">
      <c r="A12" s="257" t="s">
        <v>391</v>
      </c>
      <c r="B12" s="324">
        <f>'6-x'!J56</f>
        <v>0</v>
      </c>
      <c r="C12" s="324">
        <f>'6-x'!K56</f>
        <v>0</v>
      </c>
      <c r="D12" s="324">
        <f>'6-x'!L56</f>
        <v>0</v>
      </c>
      <c r="E12" s="324">
        <f>'6-x'!M56</f>
        <v>0</v>
      </c>
      <c r="F12" s="324">
        <f>'6-x'!N56</f>
        <v>0</v>
      </c>
      <c r="G12" s="324">
        <f>'6-x'!O56</f>
        <v>0</v>
      </c>
      <c r="H12" s="279">
        <f>'6-x'!P56</f>
        <v>0</v>
      </c>
    </row>
    <row r="13" spans="1:8">
      <c r="A13" s="258" t="s">
        <v>478</v>
      </c>
      <c r="B13" s="306" t="str">
        <f>'6-x'!J47</f>
        <v/>
      </c>
      <c r="C13" s="306">
        <f>'6-x'!K47</f>
        <v>0.89245673706488438</v>
      </c>
      <c r="D13" s="306">
        <f>'6-x'!L47</f>
        <v>0.89910718855761074</v>
      </c>
      <c r="E13" s="306">
        <f>'6-x'!M47</f>
        <v>0.89649547469413671</v>
      </c>
      <c r="F13" s="306">
        <f>'6-x'!N47</f>
        <v>0.84315675877672125</v>
      </c>
      <c r="G13" s="306">
        <f>'6-x'!O47</f>
        <v>0.89192106193196952</v>
      </c>
      <c r="H13" s="306">
        <f>'6-x'!P47</f>
        <v>0.88440582934100209</v>
      </c>
    </row>
    <row r="14" spans="1:8" ht="15.6">
      <c r="A14" s="360"/>
      <c r="B14" s="360"/>
      <c r="C14" s="360"/>
      <c r="D14" s="360"/>
      <c r="E14" s="360"/>
      <c r="F14" s="360"/>
      <c r="G14" s="360"/>
      <c r="H14" s="360"/>
    </row>
    <row r="15" spans="1:8">
      <c r="B15" s="895" t="s">
        <v>11</v>
      </c>
      <c r="C15" s="895"/>
      <c r="D15" s="895"/>
      <c r="E15" s="895"/>
      <c r="F15" s="895"/>
      <c r="G15" s="895"/>
      <c r="H15" s="895"/>
    </row>
    <row r="16" spans="1:8" ht="28.8">
      <c r="B16" s="281" t="s">
        <v>5</v>
      </c>
      <c r="C16" s="281" t="s">
        <v>64</v>
      </c>
      <c r="D16" s="281" t="s">
        <v>7</v>
      </c>
      <c r="E16" s="281" t="s">
        <v>8</v>
      </c>
      <c r="F16" s="281" t="s">
        <v>267</v>
      </c>
      <c r="G16" s="281" t="s">
        <v>268</v>
      </c>
      <c r="H16" s="281" t="s">
        <v>10</v>
      </c>
    </row>
    <row r="17" spans="1:8">
      <c r="A17" s="283">
        <v>2022</v>
      </c>
      <c r="B17" s="896" t="s">
        <v>200</v>
      </c>
      <c r="C17" s="897"/>
      <c r="D17" s="897"/>
      <c r="E17" s="897"/>
      <c r="F17" s="897"/>
      <c r="G17" s="897"/>
      <c r="H17" s="898"/>
    </row>
    <row r="18" spans="1:8">
      <c r="A18" s="258" t="s">
        <v>287</v>
      </c>
      <c r="B18" s="279">
        <f>'6-x'!J142</f>
        <v>0</v>
      </c>
      <c r="C18" s="279">
        <f>'6-x'!K142</f>
        <v>3192.3989687092799</v>
      </c>
      <c r="D18" s="279">
        <f>'6-x'!L142</f>
        <v>50.068787626439999</v>
      </c>
      <c r="E18" s="279">
        <f>'6-x'!M142</f>
        <v>485.10748073303995</v>
      </c>
      <c r="F18" s="279">
        <f>'6-x'!N142</f>
        <v>862.50214975451991</v>
      </c>
      <c r="G18" s="279">
        <f>'6-x'!O142</f>
        <v>283.27601036459993</v>
      </c>
      <c r="H18" s="279">
        <f>'6-x'!P142</f>
        <v>4873.3533971878796</v>
      </c>
    </row>
    <row r="19" spans="1:8">
      <c r="A19" s="257" t="s">
        <v>25</v>
      </c>
      <c r="B19" s="324">
        <f>'6-x'!J143</f>
        <v>0</v>
      </c>
      <c r="C19" s="324">
        <f>'6-x'!K143</f>
        <v>772.79449711728</v>
      </c>
      <c r="D19" s="324">
        <f>'6-x'!L143</f>
        <v>7.5580395541199996</v>
      </c>
      <c r="E19" s="324">
        <f>'6-x'!M143</f>
        <v>1.4187446261999999</v>
      </c>
      <c r="F19" s="324">
        <f>'6-x'!N143</f>
        <v>145.27944972287997</v>
      </c>
      <c r="G19" s="324">
        <f>'6-x'!O143</f>
        <v>281.25537407879995</v>
      </c>
      <c r="H19" s="279">
        <f>'6-x'!P143</f>
        <v>1208.3061050992801</v>
      </c>
    </row>
    <row r="20" spans="1:8">
      <c r="A20" s="257" t="s">
        <v>26</v>
      </c>
      <c r="B20" s="324">
        <f>'6-x'!J144</f>
        <v>0</v>
      </c>
      <c r="C20" s="324">
        <f>'6-x'!K144</f>
        <v>758.1943251458398</v>
      </c>
      <c r="D20" s="324">
        <f>'6-x'!L144</f>
        <v>0</v>
      </c>
      <c r="E20" s="324">
        <f>'6-x'!M144</f>
        <v>80.834049884280006</v>
      </c>
      <c r="F20" s="324">
        <f>'6-x'!N144</f>
        <v>5.8555460026799988</v>
      </c>
      <c r="G20" s="324">
        <f>'6-x'!O144</f>
        <v>0.34393809119999996</v>
      </c>
      <c r="H20" s="279">
        <f>'6-x'!P144</f>
        <v>845.22785912399979</v>
      </c>
    </row>
    <row r="21" spans="1:8">
      <c r="A21" s="257" t="s">
        <v>27</v>
      </c>
      <c r="B21" s="324">
        <f>'6-x'!J145</f>
        <v>0</v>
      </c>
      <c r="C21" s="324">
        <f>'6-x'!K145</f>
        <v>1465.9243338603599</v>
      </c>
      <c r="D21" s="324">
        <f>'6-x'!L145</f>
        <v>31.530524510759996</v>
      </c>
      <c r="E21" s="324">
        <f>'6-x'!M145</f>
        <v>246.41444544024</v>
      </c>
      <c r="F21" s="324">
        <f>'6-x'!N145</f>
        <v>285.54600176651996</v>
      </c>
      <c r="G21" s="324">
        <f>'6-x'!O145</f>
        <v>1.3499570079599998</v>
      </c>
      <c r="H21" s="279">
        <f>'6-x'!P145</f>
        <v>2030.7652625858398</v>
      </c>
    </row>
    <row r="22" spans="1:8">
      <c r="A22" s="257" t="s">
        <v>28</v>
      </c>
      <c r="B22" s="324">
        <f>'6-x'!J146</f>
        <v>0</v>
      </c>
      <c r="C22" s="324">
        <f>'6-x'!K146</f>
        <v>126.13069649532</v>
      </c>
      <c r="D22" s="324">
        <f>'6-x'!L146</f>
        <v>0</v>
      </c>
      <c r="E22" s="324">
        <f>'6-x'!M146</f>
        <v>88.271711106479984</v>
      </c>
      <c r="F22" s="324">
        <f>'6-x'!N146</f>
        <v>105.03869305247999</v>
      </c>
      <c r="G22" s="324">
        <f>'6-x'!O146</f>
        <v>0</v>
      </c>
      <c r="H22" s="279">
        <f>'6-x'!P146</f>
        <v>319.44110065427998</v>
      </c>
    </row>
    <row r="23" spans="1:8">
      <c r="A23" s="257" t="s">
        <v>29</v>
      </c>
      <c r="B23" s="324">
        <f>'6-x'!J147</f>
        <v>0</v>
      </c>
      <c r="C23" s="324">
        <f>'6-x'!K147</f>
        <v>69.337919185919986</v>
      </c>
      <c r="D23" s="324">
        <f>'6-x'!L147</f>
        <v>10.980223561560001</v>
      </c>
      <c r="E23" s="324">
        <f>'6-x'!M147</f>
        <v>68.168529675839991</v>
      </c>
      <c r="F23" s="324">
        <f>'6-x'!N147</f>
        <v>320.78245920995994</v>
      </c>
      <c r="G23" s="324">
        <f>'6-x'!O147</f>
        <v>0.32674118663999996</v>
      </c>
      <c r="H23" s="279">
        <f>'6-x'!P147</f>
        <v>469.59587281991992</v>
      </c>
    </row>
    <row r="24" spans="1:8">
      <c r="A24" s="257" t="s">
        <v>391</v>
      </c>
      <c r="B24" s="324">
        <f>'6-x'!J148</f>
        <v>0</v>
      </c>
      <c r="C24" s="324">
        <f>'6-x'!K148</f>
        <v>1.719690456E-2</v>
      </c>
      <c r="D24" s="324">
        <f>'6-x'!L148</f>
        <v>0</v>
      </c>
      <c r="E24" s="324">
        <f>'6-x'!M148</f>
        <v>0</v>
      </c>
      <c r="F24" s="324">
        <f>'6-x'!N148</f>
        <v>0</v>
      </c>
      <c r="G24" s="324">
        <f>'6-x'!O148</f>
        <v>0</v>
      </c>
      <c r="H24" s="279">
        <f>'6-x'!P148</f>
        <v>1.719690456E-2</v>
      </c>
    </row>
    <row r="25" spans="1:8">
      <c r="A25" s="258" t="s">
        <v>478</v>
      </c>
      <c r="B25" s="306" t="str">
        <f>'6-x'!J139</f>
        <v/>
      </c>
      <c r="C25" s="306">
        <f>'6-x'!K139</f>
        <v>0.89548678567612772</v>
      </c>
      <c r="D25" s="306">
        <f>'6-x'!L139</f>
        <v>0.90021843800471402</v>
      </c>
      <c r="E25" s="306">
        <f>'6-x'!M139</f>
        <v>0.89245470751235767</v>
      </c>
      <c r="F25" s="306">
        <f>'6-x'!N139</f>
        <v>0.863149039428593</v>
      </c>
      <c r="G25" s="306">
        <f>'6-x'!O139</f>
        <v>0.89472657081806117</v>
      </c>
      <c r="H25" s="306">
        <f>'6-x'!P139</f>
        <v>0.88929353895715624</v>
      </c>
    </row>
    <row r="26" spans="1:8" ht="15.6">
      <c r="A26" s="360"/>
      <c r="B26" s="360"/>
      <c r="C26" s="360"/>
      <c r="D26" s="360"/>
      <c r="E26" s="360"/>
      <c r="F26" s="360"/>
      <c r="G26" s="360"/>
      <c r="H26" s="360"/>
    </row>
    <row r="27" spans="1:8">
      <c r="B27" s="895" t="s">
        <v>11</v>
      </c>
      <c r="C27" s="895"/>
      <c r="D27" s="895"/>
      <c r="E27" s="895"/>
      <c r="F27" s="895"/>
      <c r="G27" s="895"/>
      <c r="H27" s="895"/>
    </row>
    <row r="28" spans="1:8" ht="28.8">
      <c r="B28" s="281" t="s">
        <v>5</v>
      </c>
      <c r="C28" s="281" t="s">
        <v>64</v>
      </c>
      <c r="D28" s="281" t="s">
        <v>7</v>
      </c>
      <c r="E28" s="281" t="s">
        <v>8</v>
      </c>
      <c r="F28" s="281" t="s">
        <v>267</v>
      </c>
      <c r="G28" s="281" t="s">
        <v>268</v>
      </c>
      <c r="H28" s="281" t="s">
        <v>10</v>
      </c>
    </row>
    <row r="29" spans="1:8">
      <c r="A29" s="283">
        <v>2021</v>
      </c>
      <c r="B29" s="896" t="s">
        <v>200</v>
      </c>
      <c r="C29" s="897"/>
      <c r="D29" s="897"/>
      <c r="E29" s="897"/>
      <c r="F29" s="897"/>
      <c r="G29" s="897"/>
      <c r="H29" s="898"/>
    </row>
    <row r="30" spans="1:8">
      <c r="A30" s="258" t="s">
        <v>287</v>
      </c>
      <c r="B30" s="279">
        <f>'6-x'!J234</f>
        <v>0</v>
      </c>
      <c r="C30" s="279">
        <f>'6-x'!K234</f>
        <v>3465.3946695279119</v>
      </c>
      <c r="D30" s="279">
        <f>'6-x'!L234</f>
        <v>39.088564064879996</v>
      </c>
      <c r="E30" s="279">
        <f>'6-x'!M234</f>
        <v>417.54600178816798</v>
      </c>
      <c r="F30" s="279">
        <f>'6-x'!N234</f>
        <v>746.59931224625984</v>
      </c>
      <c r="G30" s="279">
        <f>'6-x'!O234</f>
        <v>291.05760967800001</v>
      </c>
      <c r="H30" s="279">
        <f>'6-x'!P234</f>
        <v>4959.6861573052192</v>
      </c>
    </row>
    <row r="31" spans="1:8">
      <c r="A31" s="257" t="s">
        <v>25</v>
      </c>
      <c r="B31" s="324">
        <f>'6-x'!J235</f>
        <v>0</v>
      </c>
      <c r="C31" s="324">
        <f>'6-x'!K235</f>
        <v>810.61049024471993</v>
      </c>
      <c r="D31" s="324">
        <f>'6-x'!L235</f>
        <v>7.4892519358799987</v>
      </c>
      <c r="E31" s="324">
        <f>'6-x'!M235</f>
        <v>1.6079105763599999</v>
      </c>
      <c r="F31" s="324">
        <f>'6-x'!N235</f>
        <v>172.61392952099999</v>
      </c>
      <c r="G31" s="324">
        <f>'6-x'!O235</f>
        <v>289.20034398552002</v>
      </c>
      <c r="H31" s="279">
        <f>'6-x'!P235</f>
        <v>1281.5219262634801</v>
      </c>
    </row>
    <row r="32" spans="1:8">
      <c r="A32" s="257" t="s">
        <v>26</v>
      </c>
      <c r="B32" s="324">
        <f>'6-x'!J236</f>
        <v>0</v>
      </c>
      <c r="C32" s="324">
        <f>'6-x'!K236</f>
        <v>798.601891790472</v>
      </c>
      <c r="D32" s="324">
        <f>'6-x'!L236</f>
        <v>0</v>
      </c>
      <c r="E32" s="324">
        <f>'6-x'!M236</f>
        <v>50.80051591546799</v>
      </c>
      <c r="F32" s="324">
        <f>'6-x'!N236</f>
        <v>7.3860705085199996</v>
      </c>
      <c r="G32" s="324">
        <f>'6-x'!O236</f>
        <v>0.46431642311999999</v>
      </c>
      <c r="H32" s="279">
        <f>'6-x'!P236</f>
        <v>857.25279463757988</v>
      </c>
    </row>
    <row r="33" spans="1:8">
      <c r="A33" s="257" t="s">
        <v>27</v>
      </c>
      <c r="B33" s="324">
        <f>'6-x'!J237</f>
        <v>0</v>
      </c>
      <c r="C33" s="324">
        <f>'6-x'!K237</f>
        <v>1646.3456580515999</v>
      </c>
      <c r="D33" s="324">
        <f>'6-x'!L237</f>
        <v>28.81341359028</v>
      </c>
      <c r="E33" s="324">
        <f>'6-x'!M237</f>
        <v>195.42562341984001</v>
      </c>
      <c r="F33" s="324">
        <f>'6-x'!N237</f>
        <v>126.69819434579999</v>
      </c>
      <c r="G33" s="324">
        <f>'6-x'!O237</f>
        <v>1.2811693897200001</v>
      </c>
      <c r="H33" s="279">
        <f>'6-x'!P237</f>
        <v>1998.56405879724</v>
      </c>
    </row>
    <row r="34" spans="1:8">
      <c r="A34" s="257" t="s">
        <v>28</v>
      </c>
      <c r="B34" s="324">
        <f>'6-x'!J238</f>
        <v>0</v>
      </c>
      <c r="C34" s="324">
        <f>'6-x'!K238</f>
        <v>136.51762684955997</v>
      </c>
      <c r="D34" s="324">
        <f>'6-x'!L238</f>
        <v>0</v>
      </c>
      <c r="E34" s="324">
        <f>'6-x'!M238</f>
        <v>88.615649197679986</v>
      </c>
      <c r="F34" s="324">
        <f>'6-x'!N238</f>
        <v>109.69045573596</v>
      </c>
      <c r="G34" s="324">
        <f>'6-x'!O238</f>
        <v>0</v>
      </c>
      <c r="H34" s="279">
        <f>'6-x'!P238</f>
        <v>334.82373178319995</v>
      </c>
    </row>
    <row r="35" spans="1:8">
      <c r="A35" s="257" t="s">
        <v>29</v>
      </c>
      <c r="B35" s="324">
        <f>'6-x'!J239</f>
        <v>0</v>
      </c>
      <c r="C35" s="324">
        <f>'6-x'!K239</f>
        <v>73.301805686999998</v>
      </c>
      <c r="D35" s="324">
        <f>'6-x'!L239</f>
        <v>2.7858985387199997</v>
      </c>
      <c r="E35" s="324">
        <f>'6-x'!M239</f>
        <v>81.096302678819995</v>
      </c>
      <c r="F35" s="324">
        <f>'6-x'!N239</f>
        <v>330.21066213497994</v>
      </c>
      <c r="G35" s="324">
        <f>'6-x'!O239</f>
        <v>0.11177987964</v>
      </c>
      <c r="H35" s="279">
        <f>'6-x'!P239</f>
        <v>487.50644891915994</v>
      </c>
    </row>
    <row r="36" spans="1:8">
      <c r="A36" s="257" t="s">
        <v>391</v>
      </c>
      <c r="B36" s="324">
        <f>'6-x'!J240</f>
        <v>0</v>
      </c>
      <c r="C36" s="324">
        <f>'6-x'!K240</f>
        <v>1.719690456E-2</v>
      </c>
      <c r="D36" s="324">
        <f>'6-x'!L240</f>
        <v>0</v>
      </c>
      <c r="E36" s="324">
        <f>'6-x'!M240</f>
        <v>0</v>
      </c>
      <c r="F36" s="324">
        <f>'6-x'!N240</f>
        <v>0</v>
      </c>
      <c r="G36" s="324">
        <f>'6-x'!O240</f>
        <v>0</v>
      </c>
      <c r="H36" s="279">
        <f>'6-x'!P240</f>
        <v>1.719690456E-2</v>
      </c>
    </row>
    <row r="37" spans="1:8">
      <c r="A37" s="258" t="s">
        <v>478</v>
      </c>
      <c r="B37" s="306" t="str">
        <f>'6-x'!J231</f>
        <v/>
      </c>
      <c r="C37" s="306">
        <f>'6-x'!K231</f>
        <v>0.8992282301551221</v>
      </c>
      <c r="D37" s="306">
        <f>'6-x'!L231</f>
        <v>0.90000240556537914</v>
      </c>
      <c r="E37" s="306">
        <f>'6-x'!M231</f>
        <v>0.89765258399818271</v>
      </c>
      <c r="F37" s="306">
        <f>'6-x'!N231</f>
        <v>0.86344285519558106</v>
      </c>
      <c r="G37" s="306">
        <f>'6-x'!O231</f>
        <v>0.89486575086087805</v>
      </c>
      <c r="H37" s="306">
        <f>'6-x'!P231</f>
        <v>0.89327371615208595</v>
      </c>
    </row>
    <row r="38" spans="1:8" ht="15.6">
      <c r="A38" s="360"/>
      <c r="B38" s="360"/>
      <c r="C38" s="360"/>
      <c r="D38" s="360"/>
      <c r="E38" s="360"/>
      <c r="F38" s="360"/>
      <c r="G38" s="360"/>
      <c r="H38" s="360"/>
    </row>
    <row r="39" spans="1:8">
      <c r="B39" s="895" t="s">
        <v>11</v>
      </c>
      <c r="C39" s="895"/>
      <c r="D39" s="895"/>
      <c r="E39" s="895"/>
      <c r="F39" s="895"/>
      <c r="G39" s="895"/>
      <c r="H39" s="895"/>
    </row>
    <row r="40" spans="1:8" ht="28.8">
      <c r="B40" s="281" t="s">
        <v>5</v>
      </c>
      <c r="C40" s="281" t="s">
        <v>64</v>
      </c>
      <c r="D40" s="281" t="s">
        <v>7</v>
      </c>
      <c r="E40" s="281" t="s">
        <v>8</v>
      </c>
      <c r="F40" s="281" t="s">
        <v>267</v>
      </c>
      <c r="G40" s="281" t="s">
        <v>268</v>
      </c>
      <c r="H40" s="281" t="s">
        <v>10</v>
      </c>
    </row>
    <row r="41" spans="1:8">
      <c r="A41" s="283">
        <v>2020</v>
      </c>
      <c r="B41" s="896" t="s">
        <v>200</v>
      </c>
      <c r="C41" s="897"/>
      <c r="D41" s="897"/>
      <c r="E41" s="897"/>
      <c r="F41" s="897"/>
      <c r="G41" s="897"/>
      <c r="H41" s="898"/>
    </row>
    <row r="42" spans="1:8">
      <c r="A42" s="258" t="s">
        <v>287</v>
      </c>
      <c r="B42" s="279">
        <f>'6-x'!J326</f>
        <v>22.42</v>
      </c>
      <c r="C42" s="279">
        <f>'6-x'!K326</f>
        <v>3247.62</v>
      </c>
      <c r="D42" s="279">
        <f>'6-x'!L326</f>
        <v>71.2</v>
      </c>
      <c r="E42" s="279">
        <f>'6-x'!M326</f>
        <v>435.3</v>
      </c>
      <c r="F42" s="279">
        <f>'6-x'!N326</f>
        <v>1047.8200000000002</v>
      </c>
      <c r="G42" s="279">
        <f>'6-x'!O326</f>
        <v>274.30099999999999</v>
      </c>
      <c r="H42" s="279">
        <f>'6-x'!P326</f>
        <v>5098.661000000001</v>
      </c>
    </row>
    <row r="43" spans="1:8">
      <c r="A43" s="257" t="s">
        <v>25</v>
      </c>
      <c r="B43" s="324">
        <f>'6-x'!J327</f>
        <v>0</v>
      </c>
      <c r="C43" s="324">
        <f>'6-x'!K327</f>
        <v>674.1</v>
      </c>
      <c r="D43" s="324">
        <f>'6-x'!L327</f>
        <v>8.1</v>
      </c>
      <c r="E43" s="324">
        <f>'6-x'!M327</f>
        <v>3.1</v>
      </c>
      <c r="F43" s="324">
        <f>'6-x'!N327</f>
        <v>203.7</v>
      </c>
      <c r="G43" s="324">
        <f>'6-x'!O327</f>
        <v>272.7</v>
      </c>
      <c r="H43" s="279">
        <f>'6-x'!P327</f>
        <v>1161.7</v>
      </c>
    </row>
    <row r="44" spans="1:8">
      <c r="A44" s="257" t="s">
        <v>26</v>
      </c>
      <c r="B44" s="324">
        <f>'6-x'!J328</f>
        <v>0</v>
      </c>
      <c r="C44" s="324">
        <f>'6-x'!K328</f>
        <v>547.6</v>
      </c>
      <c r="D44" s="324">
        <f>'6-x'!L328</f>
        <v>0</v>
      </c>
      <c r="E44" s="324">
        <f>'6-x'!M328</f>
        <v>76.5</v>
      </c>
      <c r="F44" s="324">
        <f>'6-x'!N328</f>
        <v>8.6999999999999993</v>
      </c>
      <c r="G44" s="324">
        <f>'6-x'!O328</f>
        <v>0.3</v>
      </c>
      <c r="H44" s="279">
        <f>'6-x'!P328</f>
        <v>633.1</v>
      </c>
    </row>
    <row r="45" spans="1:8">
      <c r="A45" s="257" t="s">
        <v>27</v>
      </c>
      <c r="B45" s="324">
        <f>'6-x'!J329</f>
        <v>0</v>
      </c>
      <c r="C45" s="324">
        <f>'6-x'!K329</f>
        <v>1800.3</v>
      </c>
      <c r="D45" s="324">
        <f>'6-x'!L329</f>
        <v>38.299999999999997</v>
      </c>
      <c r="E45" s="324">
        <f>'6-x'!M329</f>
        <v>221.6</v>
      </c>
      <c r="F45" s="324">
        <f>'6-x'!N329</f>
        <v>204.2</v>
      </c>
      <c r="G45" s="324">
        <f>'6-x'!O329</f>
        <v>1.2</v>
      </c>
      <c r="H45" s="279">
        <f>'6-x'!P329</f>
        <v>2265.5999999999995</v>
      </c>
    </row>
    <row r="46" spans="1:8">
      <c r="A46" s="257" t="s">
        <v>28</v>
      </c>
      <c r="B46" s="324">
        <f>'6-x'!J330</f>
        <v>0</v>
      </c>
      <c r="C46" s="324">
        <f>'6-x'!K330</f>
        <v>146.1</v>
      </c>
      <c r="D46" s="324">
        <f>'6-x'!L330</f>
        <v>0</v>
      </c>
      <c r="E46" s="324">
        <f>'6-x'!M330</f>
        <v>54.1</v>
      </c>
      <c r="F46" s="324">
        <f>'6-x'!N330</f>
        <v>106.9</v>
      </c>
      <c r="G46" s="324">
        <f>'6-x'!O330</f>
        <v>1E-3</v>
      </c>
      <c r="H46" s="279">
        <f>'6-x'!P330</f>
        <v>307.101</v>
      </c>
    </row>
    <row r="47" spans="1:8">
      <c r="A47" s="257" t="s">
        <v>29</v>
      </c>
      <c r="B47" s="324">
        <f>'6-x'!J331</f>
        <v>22.42</v>
      </c>
      <c r="C47" s="324">
        <f>'6-x'!K331</f>
        <v>79.52</v>
      </c>
      <c r="D47" s="324">
        <f>'6-x'!L331</f>
        <v>24.8</v>
      </c>
      <c r="E47" s="324">
        <f>'6-x'!M331</f>
        <v>80</v>
      </c>
      <c r="F47" s="324">
        <f>'6-x'!N331</f>
        <v>524.32000000000005</v>
      </c>
      <c r="G47" s="324">
        <f>'6-x'!O331</f>
        <v>0.1</v>
      </c>
      <c r="H47" s="279">
        <f>'6-x'!P331</f>
        <v>731.16000000000008</v>
      </c>
    </row>
    <row r="48" spans="1:8">
      <c r="A48" s="257" t="s">
        <v>391</v>
      </c>
      <c r="B48" s="324">
        <f>'6-x'!J332</f>
        <v>0</v>
      </c>
      <c r="C48" s="324">
        <f>'6-x'!K332</f>
        <v>0</v>
      </c>
      <c r="D48" s="324">
        <f>'6-x'!L332</f>
        <v>0</v>
      </c>
      <c r="E48" s="324">
        <f>'6-x'!M332</f>
        <v>0</v>
      </c>
      <c r="F48" s="324">
        <f>'6-x'!N332</f>
        <v>0</v>
      </c>
      <c r="G48" s="324">
        <f>'6-x'!O332</f>
        <v>0</v>
      </c>
      <c r="H48" s="279">
        <f>'6-x'!P332</f>
        <v>0</v>
      </c>
    </row>
    <row r="49" spans="1:8">
      <c r="A49" s="258" t="s">
        <v>478</v>
      </c>
      <c r="B49" s="306">
        <f>'6-x'!J323</f>
        <v>0.89911069817338929</v>
      </c>
      <c r="C49" s="306">
        <f>'6-x'!K323</f>
        <v>0.89373861605037974</v>
      </c>
      <c r="D49" s="306">
        <f>'6-x'!L323</f>
        <v>0.89964961669092103</v>
      </c>
      <c r="E49" s="306">
        <f>'6-x'!M323</f>
        <v>0.89982334448705414</v>
      </c>
      <c r="F49" s="306">
        <f>'6-x'!N323</f>
        <v>0.87112498706734653</v>
      </c>
      <c r="G49" s="306">
        <f>'6-x'!O323</f>
        <v>0.89202660294330882</v>
      </c>
      <c r="H49" s="306">
        <f>'6-x'!P323</f>
        <v>0.88951985861246341</v>
      </c>
    </row>
    <row r="50" spans="1:8" ht="15.6">
      <c r="A50" s="360"/>
      <c r="B50" s="360"/>
      <c r="C50" s="360"/>
      <c r="D50" s="360"/>
      <c r="E50" s="360"/>
      <c r="F50" s="360"/>
      <c r="G50" s="360"/>
      <c r="H50" s="360"/>
    </row>
    <row r="51" spans="1:8">
      <c r="B51" s="895" t="s">
        <v>11</v>
      </c>
      <c r="C51" s="895"/>
      <c r="D51" s="895"/>
      <c r="E51" s="895"/>
      <c r="F51" s="895"/>
      <c r="G51" s="895"/>
      <c r="H51" s="895"/>
    </row>
    <row r="52" spans="1:8" ht="28.8">
      <c r="B52" s="281" t="s">
        <v>5</v>
      </c>
      <c r="C52" s="281" t="s">
        <v>64</v>
      </c>
      <c r="D52" s="281" t="s">
        <v>7</v>
      </c>
      <c r="E52" s="281" t="s">
        <v>8</v>
      </c>
      <c r="F52" s="281" t="s">
        <v>267</v>
      </c>
      <c r="G52" s="281" t="s">
        <v>268</v>
      </c>
      <c r="H52" s="281" t="s">
        <v>10</v>
      </c>
    </row>
    <row r="53" spans="1:8">
      <c r="A53" s="283">
        <v>2019</v>
      </c>
      <c r="B53" s="896" t="s">
        <v>200</v>
      </c>
      <c r="C53" s="897"/>
      <c r="D53" s="897"/>
      <c r="E53" s="897"/>
      <c r="F53" s="897"/>
      <c r="G53" s="897"/>
      <c r="H53" s="898"/>
    </row>
    <row r="54" spans="1:8">
      <c r="A54" s="258" t="s">
        <v>287</v>
      </c>
      <c r="B54" s="279">
        <f>'6-x'!J418</f>
        <v>45.4</v>
      </c>
      <c r="C54" s="279">
        <f>'6-x'!K418</f>
        <v>3313</v>
      </c>
      <c r="D54" s="279">
        <f>'6-x'!L418</f>
        <v>111.5</v>
      </c>
      <c r="E54" s="279">
        <f>'6-x'!M418</f>
        <v>425.3</v>
      </c>
      <c r="F54" s="279">
        <f>'6-x'!N418</f>
        <v>1010.2</v>
      </c>
      <c r="G54" s="279">
        <f>'6-x'!O418</f>
        <v>274.8</v>
      </c>
      <c r="H54" s="279">
        <f>'6-x'!P418</f>
        <v>5180.2000000000007</v>
      </c>
    </row>
    <row r="55" spans="1:8">
      <c r="A55" s="257" t="s">
        <v>25</v>
      </c>
      <c r="B55" s="324">
        <f>'6-x'!J419</f>
        <v>0</v>
      </c>
      <c r="C55" s="324">
        <f>'6-x'!K419</f>
        <v>698.5</v>
      </c>
      <c r="D55" s="324">
        <f>'6-x'!L419</f>
        <v>9.6999999999999993</v>
      </c>
      <c r="E55" s="324">
        <f>'6-x'!M419</f>
        <v>2</v>
      </c>
      <c r="F55" s="324">
        <f>'6-x'!N419</f>
        <v>200.9</v>
      </c>
      <c r="G55" s="324">
        <f>'6-x'!O419</f>
        <v>272.3</v>
      </c>
      <c r="H55" s="279">
        <f>'6-x'!P419</f>
        <v>1183.4000000000001</v>
      </c>
    </row>
    <row r="56" spans="1:8">
      <c r="A56" s="257" t="s">
        <v>26</v>
      </c>
      <c r="B56" s="324">
        <f>'6-x'!J420</f>
        <v>0</v>
      </c>
      <c r="C56" s="324">
        <f>'6-x'!K420</f>
        <v>556.1</v>
      </c>
      <c r="D56" s="324">
        <f>'6-x'!L420</f>
        <v>0</v>
      </c>
      <c r="E56" s="324">
        <f>'6-x'!M420</f>
        <v>58.8</v>
      </c>
      <c r="F56" s="324">
        <f>'6-x'!N420</f>
        <v>8.9</v>
      </c>
      <c r="G56" s="324">
        <f>'6-x'!O420</f>
        <v>0.4</v>
      </c>
      <c r="H56" s="279">
        <f>'6-x'!P420</f>
        <v>624.19999999999993</v>
      </c>
    </row>
    <row r="57" spans="1:8">
      <c r="A57" s="257" t="s">
        <v>27</v>
      </c>
      <c r="B57" s="324">
        <f>'6-x'!J421</f>
        <v>0</v>
      </c>
      <c r="C57" s="324">
        <f>'6-x'!K421</f>
        <v>1819.9</v>
      </c>
      <c r="D57" s="324">
        <f>'6-x'!L421</f>
        <v>75.5</v>
      </c>
      <c r="E57" s="324">
        <f>'6-x'!M421</f>
        <v>230.3</v>
      </c>
      <c r="F57" s="324">
        <f>'6-x'!N421</f>
        <v>133.69999999999999</v>
      </c>
      <c r="G57" s="324">
        <f>'6-x'!O421</f>
        <v>1.3</v>
      </c>
      <c r="H57" s="279">
        <f>'6-x'!P421</f>
        <v>2260.7000000000003</v>
      </c>
    </row>
    <row r="58" spans="1:8">
      <c r="A58" s="257" t="s">
        <v>28</v>
      </c>
      <c r="B58" s="324">
        <f>'6-x'!J422</f>
        <v>7.9</v>
      </c>
      <c r="C58" s="324">
        <f>'6-x'!K422</f>
        <v>177.2</v>
      </c>
      <c r="D58" s="324">
        <f>'6-x'!L422</f>
        <v>0</v>
      </c>
      <c r="E58" s="324">
        <f>'6-x'!M422</f>
        <v>72.8</v>
      </c>
      <c r="F58" s="324">
        <f>'6-x'!N422</f>
        <v>117.1</v>
      </c>
      <c r="G58" s="324">
        <f>'6-x'!O422</f>
        <v>0</v>
      </c>
      <c r="H58" s="279">
        <f>'6-x'!P422</f>
        <v>375</v>
      </c>
    </row>
    <row r="59" spans="1:8">
      <c r="A59" s="257" t="s">
        <v>29</v>
      </c>
      <c r="B59" s="324">
        <f>'6-x'!J423</f>
        <v>37.5</v>
      </c>
      <c r="C59" s="324">
        <f>'6-x'!K423</f>
        <v>61.3</v>
      </c>
      <c r="D59" s="324">
        <f>'6-x'!L423</f>
        <v>26.3</v>
      </c>
      <c r="E59" s="324">
        <f>'6-x'!M423</f>
        <v>61.4</v>
      </c>
      <c r="F59" s="324">
        <f>'6-x'!N423</f>
        <v>549.6</v>
      </c>
      <c r="G59" s="324">
        <f>'6-x'!O423</f>
        <v>0.8</v>
      </c>
      <c r="H59" s="279">
        <f>'6-x'!P423</f>
        <v>736.9</v>
      </c>
    </row>
    <row r="60" spans="1:8">
      <c r="A60" s="257" t="s">
        <v>391</v>
      </c>
      <c r="B60" s="324">
        <f>'6-x'!J424</f>
        <v>0</v>
      </c>
      <c r="C60" s="324">
        <f>'6-x'!K424</f>
        <v>0</v>
      </c>
      <c r="D60" s="324">
        <f>'6-x'!L424</f>
        <v>0</v>
      </c>
      <c r="E60" s="324">
        <f>'6-x'!M424</f>
        <v>0</v>
      </c>
      <c r="F60" s="324">
        <f>'6-x'!N424</f>
        <v>0</v>
      </c>
      <c r="G60" s="324">
        <f>'6-x'!O424</f>
        <v>0</v>
      </c>
      <c r="H60" s="279">
        <f>'6-x'!P424</f>
        <v>0</v>
      </c>
    </row>
    <row r="61" spans="1:8">
      <c r="A61" s="258" t="s">
        <v>478</v>
      </c>
      <c r="B61" s="306">
        <f>'6-x'!J415</f>
        <v>0.88924639086534818</v>
      </c>
      <c r="C61" s="306">
        <f>'6-x'!K415</f>
        <v>0.89249152355838512</v>
      </c>
      <c r="D61" s="306">
        <f>'6-x'!L415</f>
        <v>0.89911353685044948</v>
      </c>
      <c r="E61" s="306">
        <f>'6-x'!M415</f>
        <v>0.90018842439304414</v>
      </c>
      <c r="F61" s="306">
        <f>'6-x'!N415</f>
        <v>0.87253421385508578</v>
      </c>
      <c r="G61" s="306">
        <f>'6-x'!O415</f>
        <v>0.890375338858302</v>
      </c>
      <c r="H61" s="306">
        <f>'6-x'!P415</f>
        <v>0.88915008522762917</v>
      </c>
    </row>
    <row r="62" spans="1:8" ht="15.6">
      <c r="A62" s="360"/>
      <c r="B62" s="360"/>
      <c r="C62" s="360"/>
      <c r="D62" s="360"/>
      <c r="E62" s="360"/>
      <c r="F62" s="360"/>
      <c r="G62" s="360"/>
      <c r="H62" s="360"/>
    </row>
    <row r="63" spans="1:8">
      <c r="B63" s="895" t="s">
        <v>11</v>
      </c>
      <c r="C63" s="895"/>
      <c r="D63" s="895"/>
      <c r="E63" s="895"/>
      <c r="F63" s="895"/>
      <c r="G63" s="895"/>
      <c r="H63" s="895"/>
    </row>
    <row r="64" spans="1:8" ht="28.8">
      <c r="B64" s="281" t="s">
        <v>5</v>
      </c>
      <c r="C64" s="281" t="s">
        <v>64</v>
      </c>
      <c r="D64" s="281" t="s">
        <v>7</v>
      </c>
      <c r="E64" s="281" t="s">
        <v>8</v>
      </c>
      <c r="F64" s="281" t="s">
        <v>267</v>
      </c>
      <c r="G64" s="281" t="s">
        <v>268</v>
      </c>
      <c r="H64" s="281" t="s">
        <v>10</v>
      </c>
    </row>
    <row r="65" spans="1:8">
      <c r="A65" s="283">
        <v>2018</v>
      </c>
      <c r="B65" s="896" t="s">
        <v>200</v>
      </c>
      <c r="C65" s="897"/>
      <c r="D65" s="897"/>
      <c r="E65" s="897"/>
      <c r="F65" s="897"/>
      <c r="G65" s="897"/>
      <c r="H65" s="898"/>
    </row>
    <row r="66" spans="1:8">
      <c r="A66" s="258" t="s">
        <v>287</v>
      </c>
      <c r="B66" s="279">
        <f>'6-x'!J510</f>
        <v>46.4</v>
      </c>
      <c r="C66" s="279">
        <f>'6-x'!K510</f>
        <v>3281.8999999999996</v>
      </c>
      <c r="D66" s="279">
        <f>'6-x'!L510</f>
        <v>58.6</v>
      </c>
      <c r="E66" s="279">
        <f>'6-x'!M510</f>
        <v>430.7</v>
      </c>
      <c r="F66" s="279">
        <f>'6-x'!N510</f>
        <v>1095.0999999999999</v>
      </c>
      <c r="G66" s="279">
        <f>'6-x'!O510</f>
        <v>214</v>
      </c>
      <c r="H66" s="279">
        <f>'6-x'!P510</f>
        <v>5126.6999999999989</v>
      </c>
    </row>
    <row r="67" spans="1:8">
      <c r="A67" s="257" t="s">
        <v>25</v>
      </c>
      <c r="B67" s="324">
        <f>'6-x'!J511</f>
        <v>0</v>
      </c>
      <c r="C67" s="324">
        <f>'6-x'!K511</f>
        <v>671.9</v>
      </c>
      <c r="D67" s="324">
        <f>'6-x'!L511</f>
        <v>8.1999999999999993</v>
      </c>
      <c r="E67" s="324">
        <f>'6-x'!M511</f>
        <v>2.8</v>
      </c>
      <c r="F67" s="324">
        <f>'6-x'!N511</f>
        <v>214.1</v>
      </c>
      <c r="G67" s="324">
        <f>'6-x'!O511</f>
        <v>210.2</v>
      </c>
      <c r="H67" s="279">
        <f>'6-x'!P511</f>
        <v>1107.2</v>
      </c>
    </row>
    <row r="68" spans="1:8">
      <c r="A68" s="257" t="s">
        <v>26</v>
      </c>
      <c r="B68" s="324">
        <f>'6-x'!J512</f>
        <v>0</v>
      </c>
      <c r="C68" s="324">
        <f>'6-x'!K512</f>
        <v>521.4</v>
      </c>
      <c r="D68" s="324">
        <f>'6-x'!L512</f>
        <v>0</v>
      </c>
      <c r="E68" s="324">
        <f>'6-x'!M512</f>
        <v>46.3</v>
      </c>
      <c r="F68" s="324">
        <f>'6-x'!N512</f>
        <v>8.8000000000000007</v>
      </c>
      <c r="G68" s="324">
        <f>'6-x'!O512</f>
        <v>0.5</v>
      </c>
      <c r="H68" s="279">
        <f>'6-x'!P512</f>
        <v>576.99999999999989</v>
      </c>
    </row>
    <row r="69" spans="1:8">
      <c r="A69" s="257" t="s">
        <v>27</v>
      </c>
      <c r="B69" s="324">
        <f>'6-x'!J513</f>
        <v>37.4</v>
      </c>
      <c r="C69" s="324">
        <f>'6-x'!K513</f>
        <v>1861.6</v>
      </c>
      <c r="D69" s="324">
        <f>'6-x'!L513</f>
        <v>43.8</v>
      </c>
      <c r="E69" s="324">
        <f>'6-x'!M513</f>
        <v>236.8</v>
      </c>
      <c r="F69" s="324">
        <f>'6-x'!N513</f>
        <v>171.9</v>
      </c>
      <c r="G69" s="324">
        <f>'6-x'!O513</f>
        <v>1.4</v>
      </c>
      <c r="H69" s="279">
        <f>'6-x'!P513</f>
        <v>2352.9</v>
      </c>
    </row>
    <row r="70" spans="1:8">
      <c r="A70" s="257" t="s">
        <v>28</v>
      </c>
      <c r="B70" s="324">
        <f>'6-x'!J514</f>
        <v>9</v>
      </c>
      <c r="C70" s="324">
        <f>'6-x'!K514</f>
        <v>180.5</v>
      </c>
      <c r="D70" s="324">
        <f>'6-x'!L514</f>
        <v>0</v>
      </c>
      <c r="E70" s="324">
        <f>'6-x'!M514</f>
        <v>75.5</v>
      </c>
      <c r="F70" s="324">
        <f>'6-x'!N514</f>
        <v>100.4</v>
      </c>
      <c r="G70" s="324">
        <f>'6-x'!O514</f>
        <v>0</v>
      </c>
      <c r="H70" s="279">
        <f>'6-x'!P514</f>
        <v>365.4</v>
      </c>
    </row>
    <row r="71" spans="1:8">
      <c r="A71" s="257" t="s">
        <v>29</v>
      </c>
      <c r="B71" s="324">
        <f>'6-x'!J515</f>
        <v>0</v>
      </c>
      <c r="C71" s="324">
        <f>'6-x'!K515</f>
        <v>46.5</v>
      </c>
      <c r="D71" s="324">
        <f>'6-x'!L515</f>
        <v>6.6</v>
      </c>
      <c r="E71" s="324">
        <f>'6-x'!M515</f>
        <v>69.3</v>
      </c>
      <c r="F71" s="324">
        <f>'6-x'!N515</f>
        <v>599.9</v>
      </c>
      <c r="G71" s="324">
        <f>'6-x'!O515</f>
        <v>1.9</v>
      </c>
      <c r="H71" s="279">
        <f>'6-x'!P515</f>
        <v>724.19999999999993</v>
      </c>
    </row>
    <row r="72" spans="1:8">
      <c r="A72" s="257" t="s">
        <v>391</v>
      </c>
      <c r="B72" s="324">
        <f>'6-x'!J516</f>
        <v>0</v>
      </c>
      <c r="C72" s="324">
        <f>'6-x'!K516</f>
        <v>0</v>
      </c>
      <c r="D72" s="324">
        <f>'6-x'!L516</f>
        <v>0</v>
      </c>
      <c r="E72" s="324">
        <f>'6-x'!M516</f>
        <v>0</v>
      </c>
      <c r="F72" s="324">
        <f>'6-x'!N516</f>
        <v>0</v>
      </c>
      <c r="G72" s="324">
        <f>'6-x'!O516</f>
        <v>0</v>
      </c>
      <c r="H72" s="279">
        <f>'6-x'!P516</f>
        <v>0</v>
      </c>
    </row>
    <row r="73" spans="1:8">
      <c r="A73" s="258" t="s">
        <v>478</v>
      </c>
      <c r="B73" s="306">
        <f>'6-x'!J507</f>
        <v>0.88975881718412897</v>
      </c>
      <c r="C73" s="306">
        <f>'6-x'!K507</f>
        <v>0.89381906004629275</v>
      </c>
      <c r="D73" s="306">
        <f>'6-x'!L507</f>
        <v>0.89941896298141388</v>
      </c>
      <c r="E73" s="306">
        <f>'6-x'!M507</f>
        <v>0.90052739839024976</v>
      </c>
      <c r="F73" s="306">
        <f>'6-x'!N507</f>
        <v>0.87018986396996933</v>
      </c>
      <c r="G73" s="306">
        <f>'6-x'!O507</f>
        <v>0.88473019779089923</v>
      </c>
      <c r="H73" s="306">
        <f>'6-x'!P507</f>
        <v>0.88886503291451946</v>
      </c>
    </row>
    <row r="74" spans="1:8" ht="15.6">
      <c r="A74" s="360"/>
      <c r="B74" s="360"/>
      <c r="C74" s="360"/>
      <c r="D74" s="360"/>
      <c r="E74" s="360"/>
      <c r="F74" s="360"/>
      <c r="G74" s="360"/>
      <c r="H74" s="360"/>
    </row>
    <row r="75" spans="1:8">
      <c r="B75" s="895" t="s">
        <v>11</v>
      </c>
      <c r="C75" s="895"/>
      <c r="D75" s="895"/>
      <c r="E75" s="895"/>
      <c r="F75" s="895"/>
      <c r="G75" s="895"/>
      <c r="H75" s="895"/>
    </row>
    <row r="76" spans="1:8" ht="28.8">
      <c r="B76" s="281" t="s">
        <v>5</v>
      </c>
      <c r="C76" s="281" t="s">
        <v>64</v>
      </c>
      <c r="D76" s="281" t="s">
        <v>7</v>
      </c>
      <c r="E76" s="281" t="s">
        <v>8</v>
      </c>
      <c r="F76" s="281" t="s">
        <v>267</v>
      </c>
      <c r="G76" s="281" t="s">
        <v>268</v>
      </c>
      <c r="H76" s="281" t="s">
        <v>10</v>
      </c>
    </row>
    <row r="77" spans="1:8">
      <c r="A77" s="283">
        <v>2017</v>
      </c>
      <c r="B77" s="896" t="s">
        <v>200</v>
      </c>
      <c r="C77" s="897"/>
      <c r="D77" s="897"/>
      <c r="E77" s="897"/>
      <c r="F77" s="897"/>
      <c r="G77" s="897"/>
      <c r="H77" s="898"/>
    </row>
    <row r="78" spans="1:8">
      <c r="A78" s="258" t="s">
        <v>287</v>
      </c>
      <c r="B78" s="279">
        <f>'6-x'!J598</f>
        <v>46</v>
      </c>
      <c r="C78" s="279">
        <f>'6-x'!K598</f>
        <v>3339.9000000000005</v>
      </c>
      <c r="D78" s="279">
        <f>'6-x'!L598</f>
        <v>103.1</v>
      </c>
      <c r="E78" s="279">
        <f>'6-x'!M598</f>
        <v>454.4</v>
      </c>
      <c r="F78" s="279">
        <f>'6-x'!N598</f>
        <v>1082.5</v>
      </c>
      <c r="G78" s="279">
        <f>'6-x'!O598</f>
        <v>226.10000000000002</v>
      </c>
      <c r="H78" s="279">
        <f>'6-x'!P598</f>
        <v>5252.0000000000009</v>
      </c>
    </row>
    <row r="79" spans="1:8">
      <c r="A79" s="257" t="s">
        <v>25</v>
      </c>
      <c r="B79" s="324">
        <f>'6-x'!J599</f>
        <v>0</v>
      </c>
      <c r="C79" s="324">
        <f>'6-x'!K599</f>
        <v>622.6</v>
      </c>
      <c r="D79" s="324">
        <f>'6-x'!L599</f>
        <v>8</v>
      </c>
      <c r="E79" s="324">
        <f>'6-x'!M599</f>
        <v>2.5</v>
      </c>
      <c r="F79" s="324">
        <f>'6-x'!N599</f>
        <v>202</v>
      </c>
      <c r="G79" s="324">
        <f>'6-x'!O599</f>
        <v>222.9</v>
      </c>
      <c r="H79" s="279">
        <f>'6-x'!P599</f>
        <v>1058</v>
      </c>
    </row>
    <row r="80" spans="1:8">
      <c r="A80" s="257" t="s">
        <v>26</v>
      </c>
      <c r="B80" s="324">
        <f>'6-x'!J600</f>
        <v>0</v>
      </c>
      <c r="C80" s="324">
        <f>'6-x'!K600</f>
        <v>513.70000000000005</v>
      </c>
      <c r="D80" s="324">
        <f>'6-x'!L600</f>
        <v>0</v>
      </c>
      <c r="E80" s="324">
        <f>'6-x'!M600</f>
        <v>70.099999999999994</v>
      </c>
      <c r="F80" s="324">
        <f>'6-x'!N600</f>
        <v>5.4</v>
      </c>
      <c r="G80" s="324">
        <f>'6-x'!O600</f>
        <v>0.4</v>
      </c>
      <c r="H80" s="279">
        <f>'6-x'!P600</f>
        <v>589.6</v>
      </c>
    </row>
    <row r="81" spans="1:9">
      <c r="A81" s="257" t="s">
        <v>27</v>
      </c>
      <c r="B81" s="324">
        <f>'6-x'!J601</f>
        <v>36.9</v>
      </c>
      <c r="C81" s="324">
        <f>'6-x'!K601</f>
        <v>1940.9</v>
      </c>
      <c r="D81" s="324">
        <f>'6-x'!L601</f>
        <v>75.599999999999994</v>
      </c>
      <c r="E81" s="324">
        <f>'6-x'!M601</f>
        <v>217.6</v>
      </c>
      <c r="F81" s="324">
        <f>'6-x'!N601</f>
        <v>184</v>
      </c>
      <c r="G81" s="324">
        <f>'6-x'!O601</f>
        <v>1.4</v>
      </c>
      <c r="H81" s="279">
        <f>'6-x'!P601</f>
        <v>2456.4</v>
      </c>
    </row>
    <row r="82" spans="1:9">
      <c r="A82" s="257" t="s">
        <v>28</v>
      </c>
      <c r="B82" s="324">
        <f>'6-x'!J602</f>
        <v>9.1</v>
      </c>
      <c r="C82" s="324">
        <f>'6-x'!K602</f>
        <v>191.9</v>
      </c>
      <c r="D82" s="324">
        <f>'6-x'!L602</f>
        <v>0</v>
      </c>
      <c r="E82" s="324">
        <f>'6-x'!M602</f>
        <v>74.099999999999994</v>
      </c>
      <c r="F82" s="324">
        <f>'6-x'!N602</f>
        <v>106.4</v>
      </c>
      <c r="G82" s="324">
        <f>'6-x'!O602</f>
        <v>0</v>
      </c>
      <c r="H82" s="279">
        <f>'6-x'!P602</f>
        <v>381.5</v>
      </c>
    </row>
    <row r="83" spans="1:9">
      <c r="A83" s="257" t="s">
        <v>29</v>
      </c>
      <c r="B83" s="324">
        <f>'6-x'!J603</f>
        <v>0</v>
      </c>
      <c r="C83" s="324">
        <f>'6-x'!K603</f>
        <v>70.8</v>
      </c>
      <c r="D83" s="324">
        <f>'6-x'!L603</f>
        <v>19.5</v>
      </c>
      <c r="E83" s="324">
        <f>'6-x'!M603</f>
        <v>90.1</v>
      </c>
      <c r="F83" s="324">
        <f>'6-x'!N603</f>
        <v>584.70000000000005</v>
      </c>
      <c r="G83" s="324">
        <f>'6-x'!O603</f>
        <v>1.4</v>
      </c>
      <c r="H83" s="279">
        <f>'6-x'!P603</f>
        <v>766.5</v>
      </c>
    </row>
    <row r="84" spans="1:9">
      <c r="A84" s="258" t="s">
        <v>478</v>
      </c>
      <c r="B84" s="306">
        <f>'6-x'!J595</f>
        <v>0.89033459895630007</v>
      </c>
      <c r="C84" s="306">
        <f>'6-x'!K595</f>
        <v>0.89324383802894725</v>
      </c>
      <c r="D84" s="306">
        <f>'6-x'!L595</f>
        <v>0.89929838701159115</v>
      </c>
      <c r="E84" s="306">
        <f>'6-x'!M595</f>
        <v>0.89950735596636433</v>
      </c>
      <c r="F84" s="306">
        <f>'6-x'!N595</f>
        <v>0.87263400397058311</v>
      </c>
      <c r="G84" s="306">
        <f>'6-x'!O595</f>
        <v>0.88654236702191991</v>
      </c>
      <c r="H84" s="306">
        <f>'6-x'!P595</f>
        <v>0.88925343549088443</v>
      </c>
    </row>
    <row r="85" spans="1:9" ht="15.6">
      <c r="A85" s="360"/>
      <c r="B85" s="360"/>
      <c r="C85" s="360"/>
      <c r="D85" s="360"/>
      <c r="E85" s="360"/>
      <c r="F85" s="360"/>
      <c r="G85" s="360"/>
      <c r="H85" s="360"/>
    </row>
    <row r="86" spans="1:9">
      <c r="B86" s="895" t="s">
        <v>11</v>
      </c>
      <c r="C86" s="895"/>
      <c r="D86" s="895"/>
      <c r="E86" s="895"/>
      <c r="F86" s="895"/>
      <c r="G86" s="895"/>
      <c r="H86" s="895"/>
    </row>
    <row r="87" spans="1:9" ht="28.8">
      <c r="B87" s="281" t="s">
        <v>5</v>
      </c>
      <c r="C87" s="281" t="s">
        <v>64</v>
      </c>
      <c r="D87" s="281" t="s">
        <v>7</v>
      </c>
      <c r="E87" s="281" t="s">
        <v>8</v>
      </c>
      <c r="F87" s="281" t="s">
        <v>267</v>
      </c>
      <c r="G87" s="281" t="s">
        <v>268</v>
      </c>
      <c r="H87" s="281" t="s">
        <v>10</v>
      </c>
    </row>
    <row r="88" spans="1:9" ht="14.7" customHeight="1">
      <c r="A88" s="283">
        <v>2016</v>
      </c>
      <c r="B88" s="896" t="s">
        <v>200</v>
      </c>
      <c r="C88" s="897"/>
      <c r="D88" s="897"/>
      <c r="E88" s="897"/>
      <c r="F88" s="897"/>
      <c r="G88" s="897"/>
      <c r="H88" s="898"/>
    </row>
    <row r="89" spans="1:9">
      <c r="A89" s="258" t="s">
        <v>287</v>
      </c>
      <c r="B89" s="279">
        <f>'6-x'!J683</f>
        <v>45.1</v>
      </c>
      <c r="C89" s="279">
        <f>'6-x'!K683</f>
        <v>3311.7</v>
      </c>
      <c r="D89" s="279">
        <f>'6-x'!L683</f>
        <v>129.1</v>
      </c>
      <c r="E89" s="279">
        <f>'6-x'!M683</f>
        <v>471.3</v>
      </c>
      <c r="F89" s="279">
        <f>'6-x'!N683</f>
        <v>1094.9000000000001</v>
      </c>
      <c r="G89" s="279">
        <f>'6-x'!O683</f>
        <v>197.16000000000003</v>
      </c>
      <c r="H89" s="279">
        <f>'6-x'!P683</f>
        <v>5249.26</v>
      </c>
      <c r="I89" s="284"/>
    </row>
    <row r="90" spans="1:9">
      <c r="A90" s="257" t="s">
        <v>25</v>
      </c>
      <c r="B90" s="324">
        <f>'6-x'!J684</f>
        <v>0</v>
      </c>
      <c r="C90" s="324">
        <f>'6-x'!K684</f>
        <v>573.5</v>
      </c>
      <c r="D90" s="324">
        <f>'6-x'!L684</f>
        <v>6.8</v>
      </c>
      <c r="E90" s="324">
        <f>'6-x'!M684</f>
        <v>1.6</v>
      </c>
      <c r="F90" s="324">
        <f>'6-x'!N684</f>
        <v>205.2</v>
      </c>
      <c r="G90" s="324">
        <f>'6-x'!O684</f>
        <v>194.4</v>
      </c>
      <c r="H90" s="279">
        <f>'6-x'!P684</f>
        <v>981.49999999999989</v>
      </c>
      <c r="I90" s="284"/>
    </row>
    <row r="91" spans="1:9">
      <c r="A91" s="257" t="s">
        <v>26</v>
      </c>
      <c r="B91" s="324">
        <f>'6-x'!J685</f>
        <v>0</v>
      </c>
      <c r="C91" s="324">
        <f>'6-x'!K685</f>
        <v>519.79999999999995</v>
      </c>
      <c r="D91" s="324">
        <f>'6-x'!L685</f>
        <v>0</v>
      </c>
      <c r="E91" s="324">
        <f>'6-x'!M685</f>
        <v>62.2</v>
      </c>
      <c r="F91" s="324">
        <f>'6-x'!N685</f>
        <v>4.8</v>
      </c>
      <c r="G91" s="324">
        <f>'6-x'!O685</f>
        <v>0.4</v>
      </c>
      <c r="H91" s="279">
        <f>'6-x'!P685</f>
        <v>587.19999999999993</v>
      </c>
      <c r="I91" s="284"/>
    </row>
    <row r="92" spans="1:9">
      <c r="A92" s="257" t="s">
        <v>27</v>
      </c>
      <c r="B92" s="324">
        <f>'6-x'!J686</f>
        <v>37.200000000000003</v>
      </c>
      <c r="C92" s="324">
        <f>'6-x'!K686</f>
        <v>1936.9</v>
      </c>
      <c r="D92" s="324">
        <f>'6-x'!L686</f>
        <v>90.5</v>
      </c>
      <c r="E92" s="324">
        <f>'6-x'!M686</f>
        <v>241.8</v>
      </c>
      <c r="F92" s="324">
        <f>'6-x'!N686</f>
        <v>187.9</v>
      </c>
      <c r="G92" s="324">
        <f>'6-x'!O686</f>
        <v>1.3</v>
      </c>
      <c r="H92" s="279">
        <f>'6-x'!P686</f>
        <v>2495.6000000000008</v>
      </c>
      <c r="I92" s="284"/>
    </row>
    <row r="93" spans="1:9">
      <c r="A93" s="257" t="s">
        <v>28</v>
      </c>
      <c r="B93" s="324">
        <f>'6-x'!J687</f>
        <v>7.9</v>
      </c>
      <c r="C93" s="324">
        <f>'6-x'!K687</f>
        <v>212.4</v>
      </c>
      <c r="D93" s="324">
        <f>'6-x'!L687</f>
        <v>0</v>
      </c>
      <c r="E93" s="324">
        <f>'6-x'!M687</f>
        <v>89</v>
      </c>
      <c r="F93" s="324">
        <f>'6-x'!N687</f>
        <v>106</v>
      </c>
      <c r="G93" s="324">
        <f>'6-x'!O687</f>
        <v>0.06</v>
      </c>
      <c r="H93" s="279">
        <f>'6-x'!P687</f>
        <v>415.36</v>
      </c>
      <c r="I93" s="284"/>
    </row>
    <row r="94" spans="1:9">
      <c r="A94" s="257" t="s">
        <v>29</v>
      </c>
      <c r="B94" s="324">
        <f>'6-x'!J688</f>
        <v>0</v>
      </c>
      <c r="C94" s="324">
        <f>'6-x'!K688</f>
        <v>69.099999999999994</v>
      </c>
      <c r="D94" s="324">
        <f>'6-x'!L688</f>
        <v>31.8</v>
      </c>
      <c r="E94" s="324">
        <f>'6-x'!M688</f>
        <v>76.7</v>
      </c>
      <c r="F94" s="324">
        <f>'6-x'!N688</f>
        <v>591</v>
      </c>
      <c r="G94" s="324">
        <f>'6-x'!O688</f>
        <v>1</v>
      </c>
      <c r="H94" s="279">
        <f>'6-x'!P688</f>
        <v>769.6</v>
      </c>
      <c r="I94" s="284"/>
    </row>
    <row r="95" spans="1:9">
      <c r="A95" s="258" t="s">
        <v>478</v>
      </c>
      <c r="B95" s="306">
        <f>'6-x'!J680</f>
        <v>0.89148108531945225</v>
      </c>
      <c r="C95" s="306">
        <f>'6-x'!K680</f>
        <v>0.89265091840478261</v>
      </c>
      <c r="D95" s="306">
        <f>'6-x'!L680</f>
        <v>0.89976111669641956</v>
      </c>
      <c r="E95" s="306">
        <f>'6-x'!M680</f>
        <v>0.89981518081544587</v>
      </c>
      <c r="F95" s="306">
        <f>'6-x'!N680</f>
        <v>0.87922232950179957</v>
      </c>
      <c r="G95" s="306">
        <f>'6-x'!O680</f>
        <v>0.83715761472637273</v>
      </c>
      <c r="H95" s="306">
        <f>'6-x'!P680</f>
        <v>0.88840652554182409</v>
      </c>
    </row>
    <row r="97" spans="1:9" ht="14.7" customHeight="1">
      <c r="A97" s="283">
        <v>2015</v>
      </c>
      <c r="B97" s="896" t="s">
        <v>200</v>
      </c>
      <c r="C97" s="897"/>
      <c r="D97" s="897"/>
      <c r="E97" s="897"/>
      <c r="F97" s="897"/>
      <c r="G97" s="897"/>
      <c r="H97" s="898"/>
    </row>
    <row r="98" spans="1:9">
      <c r="A98" s="258" t="s">
        <v>287</v>
      </c>
      <c r="B98" s="279">
        <f>'6-x'!J768</f>
        <v>45.4</v>
      </c>
      <c r="C98" s="279">
        <f>'6-x'!K768</f>
        <v>3234.9</v>
      </c>
      <c r="D98" s="279">
        <f>'6-x'!L768</f>
        <v>100.7</v>
      </c>
      <c r="E98" s="279">
        <f>'6-x'!M768</f>
        <v>507.1</v>
      </c>
      <c r="F98" s="279">
        <f>'6-x'!N768</f>
        <v>1002.7</v>
      </c>
      <c r="G98" s="279">
        <f>'6-x'!O768</f>
        <v>205.6</v>
      </c>
      <c r="H98" s="279">
        <f>'6-x'!P768</f>
        <v>5096.4000000000005</v>
      </c>
      <c r="I98" s="285"/>
    </row>
    <row r="99" spans="1:9">
      <c r="A99" s="257" t="s">
        <v>25</v>
      </c>
      <c r="B99" s="324">
        <f>'6-x'!J769</f>
        <v>0</v>
      </c>
      <c r="C99" s="324">
        <f>'6-x'!K769</f>
        <v>543.79999999999995</v>
      </c>
      <c r="D99" s="324">
        <f>'6-x'!L769</f>
        <v>6.9</v>
      </c>
      <c r="E99" s="324">
        <f>'6-x'!M769</f>
        <v>1.9</v>
      </c>
      <c r="F99" s="324">
        <f>'6-x'!N769</f>
        <v>173.1</v>
      </c>
      <c r="G99" s="324">
        <f>'6-x'!O769</f>
        <v>203</v>
      </c>
      <c r="H99" s="279">
        <f>'6-x'!P769</f>
        <v>928.69999999999993</v>
      </c>
      <c r="I99" s="285"/>
    </row>
    <row r="100" spans="1:9">
      <c r="A100" s="257" t="s">
        <v>26</v>
      </c>
      <c r="B100" s="324">
        <f>'6-x'!J770</f>
        <v>0</v>
      </c>
      <c r="C100" s="324">
        <f>'6-x'!K770</f>
        <v>511.1</v>
      </c>
      <c r="D100" s="324">
        <f>'6-x'!L770</f>
        <v>0</v>
      </c>
      <c r="E100" s="324">
        <f>'6-x'!M770</f>
        <v>61.9</v>
      </c>
      <c r="F100" s="324">
        <f>'6-x'!N770</f>
        <v>5.0999999999999996</v>
      </c>
      <c r="G100" s="324">
        <f>'6-x'!O770</f>
        <v>0.6</v>
      </c>
      <c r="H100" s="279">
        <f>'6-x'!P770</f>
        <v>578.70000000000005</v>
      </c>
      <c r="I100" s="285"/>
    </row>
    <row r="101" spans="1:9">
      <c r="A101" s="257" t="s">
        <v>27</v>
      </c>
      <c r="B101" s="324">
        <f>'6-x'!J771</f>
        <v>36.4</v>
      </c>
      <c r="C101" s="324">
        <f>'6-x'!K771</f>
        <v>1899.7</v>
      </c>
      <c r="D101" s="324">
        <f>'6-x'!L771</f>
        <v>35.700000000000003</v>
      </c>
      <c r="E101" s="324">
        <f>'6-x'!M771</f>
        <v>209.8</v>
      </c>
      <c r="F101" s="324">
        <f>'6-x'!N771</f>
        <v>196.8</v>
      </c>
      <c r="G101" s="324">
        <f>'6-x'!O771</f>
        <v>1.3</v>
      </c>
      <c r="H101" s="279">
        <f>'6-x'!P771</f>
        <v>2379.7000000000007</v>
      </c>
      <c r="I101" s="285"/>
    </row>
    <row r="102" spans="1:9">
      <c r="A102" s="257" t="s">
        <v>28</v>
      </c>
      <c r="B102" s="324">
        <f>'6-x'!J772</f>
        <v>9</v>
      </c>
      <c r="C102" s="324">
        <f>'6-x'!K772</f>
        <v>192.2</v>
      </c>
      <c r="D102" s="324">
        <f>'6-x'!L772</f>
        <v>0</v>
      </c>
      <c r="E102" s="324">
        <f>'6-x'!M772</f>
        <v>128.4</v>
      </c>
      <c r="F102" s="324">
        <f>'6-x'!N772</f>
        <v>96.7</v>
      </c>
      <c r="G102" s="324">
        <f>'6-x'!O772</f>
        <v>0.2</v>
      </c>
      <c r="H102" s="279">
        <f>'6-x'!P772</f>
        <v>426.5</v>
      </c>
      <c r="I102" s="285"/>
    </row>
    <row r="103" spans="1:9">
      <c r="A103" s="257" t="s">
        <v>29</v>
      </c>
      <c r="B103" s="324">
        <f>'6-x'!J773</f>
        <v>0</v>
      </c>
      <c r="C103" s="324">
        <f>'6-x'!K773</f>
        <v>88.1</v>
      </c>
      <c r="D103" s="324">
        <f>'6-x'!L773</f>
        <v>58.1</v>
      </c>
      <c r="E103" s="324">
        <f>'6-x'!M773</f>
        <v>105.1</v>
      </c>
      <c r="F103" s="324">
        <f>'6-x'!N773</f>
        <v>531</v>
      </c>
      <c r="G103" s="324">
        <f>'6-x'!O773</f>
        <v>0.5</v>
      </c>
      <c r="H103" s="279">
        <f>'6-x'!P773</f>
        <v>782.8</v>
      </c>
      <c r="I103" s="285"/>
    </row>
    <row r="104" spans="1:9">
      <c r="A104" s="258" t="s">
        <v>478</v>
      </c>
      <c r="B104" s="306">
        <f>'6-x'!J765</f>
        <v>0.88833260302899331</v>
      </c>
      <c r="C104" s="306">
        <f>'6-x'!K765</f>
        <v>0.89221022858945953</v>
      </c>
      <c r="D104" s="306">
        <f>'6-x'!L765</f>
        <v>0.90114955834645971</v>
      </c>
      <c r="E104" s="306">
        <f>'6-x'!M765</f>
        <v>0.90532907801133833</v>
      </c>
      <c r="F104" s="306">
        <f>'6-x'!N765</f>
        <v>0.84825657123172449</v>
      </c>
      <c r="G104" s="306">
        <f>'6-x'!O765</f>
        <v>0.87544370607056943</v>
      </c>
      <c r="H104" s="306">
        <f>'6-x'!P765</f>
        <v>0.88392923999794448</v>
      </c>
    </row>
    <row r="106" spans="1:9" ht="14.7" customHeight="1">
      <c r="A106" s="283">
        <v>2010</v>
      </c>
      <c r="B106" s="896" t="s">
        <v>200</v>
      </c>
      <c r="C106" s="897"/>
      <c r="D106" s="897"/>
      <c r="E106" s="897"/>
      <c r="F106" s="897"/>
      <c r="G106" s="897"/>
      <c r="H106" s="898"/>
    </row>
    <row r="107" spans="1:9">
      <c r="A107" s="258" t="s">
        <v>287</v>
      </c>
      <c r="B107" s="279">
        <f>'6-x'!J852</f>
        <v>30.7</v>
      </c>
      <c r="C107" s="279">
        <f>'6-x'!K852</f>
        <v>3077.1000000000004</v>
      </c>
      <c r="D107" s="279">
        <f>'6-x'!L852</f>
        <v>23.2</v>
      </c>
      <c r="E107" s="279">
        <f>'6-x'!M852</f>
        <v>1153.8</v>
      </c>
      <c r="F107" s="279">
        <f>'6-x'!N852</f>
        <v>527.46</v>
      </c>
      <c r="G107" s="279">
        <f>'6-x'!O852</f>
        <v>24.400000000000006</v>
      </c>
      <c r="H107" s="279">
        <f>'6-x'!P852</f>
        <v>4836.66</v>
      </c>
      <c r="I107" s="284"/>
    </row>
    <row r="108" spans="1:9">
      <c r="A108" s="257" t="s">
        <v>25</v>
      </c>
      <c r="B108" s="324">
        <f>'6-x'!J853</f>
        <v>0</v>
      </c>
      <c r="C108" s="324">
        <f>'6-x'!K853</f>
        <v>348.5</v>
      </c>
      <c r="D108" s="324">
        <f>'6-x'!L853</f>
        <v>1.3</v>
      </c>
      <c r="E108" s="324">
        <f>'6-x'!M853</f>
        <v>2.8</v>
      </c>
      <c r="F108" s="324">
        <f>'6-x'!N853</f>
        <v>43.96</v>
      </c>
      <c r="G108" s="324">
        <f>'6-x'!O853</f>
        <v>16.100000000000001</v>
      </c>
      <c r="H108" s="279">
        <f>'6-x'!P853</f>
        <v>412.66</v>
      </c>
      <c r="I108" s="284"/>
    </row>
    <row r="109" spans="1:9">
      <c r="A109" s="257" t="s">
        <v>26</v>
      </c>
      <c r="B109" s="324">
        <f>'6-x'!J854</f>
        <v>0</v>
      </c>
      <c r="C109" s="324">
        <f>'6-x'!K854</f>
        <v>407</v>
      </c>
      <c r="D109" s="324">
        <f>'6-x'!L854</f>
        <v>0</v>
      </c>
      <c r="E109" s="324">
        <f>'6-x'!M854</f>
        <v>74.5</v>
      </c>
      <c r="F109" s="324">
        <f>'6-x'!N854</f>
        <v>0</v>
      </c>
      <c r="G109" s="324">
        <f>'6-x'!O854</f>
        <v>0.2</v>
      </c>
      <c r="H109" s="279">
        <f>'6-x'!P854</f>
        <v>481.7</v>
      </c>
      <c r="I109" s="284"/>
    </row>
    <row r="110" spans="1:9">
      <c r="A110" s="257" t="s">
        <v>27</v>
      </c>
      <c r="B110" s="324">
        <f>'6-x'!J855</f>
        <v>18.399999999999999</v>
      </c>
      <c r="C110" s="324">
        <f>'6-x'!K855</f>
        <v>1903.8</v>
      </c>
      <c r="D110" s="324">
        <f>'6-x'!L855</f>
        <v>19.7</v>
      </c>
      <c r="E110" s="324">
        <f>'6-x'!M855</f>
        <v>331.8</v>
      </c>
      <c r="F110" s="324">
        <f>'6-x'!N855</f>
        <v>191.9</v>
      </c>
      <c r="G110" s="324">
        <f>'6-x'!O855</f>
        <v>0.1</v>
      </c>
      <c r="H110" s="279">
        <f>'6-x'!P855</f>
        <v>2465.7000000000003</v>
      </c>
      <c r="I110" s="284"/>
    </row>
    <row r="111" spans="1:9">
      <c r="A111" s="257" t="s">
        <v>28</v>
      </c>
      <c r="B111" s="324">
        <f>'6-x'!J856</f>
        <v>12.3</v>
      </c>
      <c r="C111" s="324">
        <f>'6-x'!K856</f>
        <v>306.8</v>
      </c>
      <c r="D111" s="324">
        <f>'6-x'!L856</f>
        <v>0</v>
      </c>
      <c r="E111" s="324">
        <f>'6-x'!M856</f>
        <v>233.9</v>
      </c>
      <c r="F111" s="324">
        <f>'6-x'!N856</f>
        <v>85.2</v>
      </c>
      <c r="G111" s="324">
        <f>'6-x'!O856</f>
        <v>2.1</v>
      </c>
      <c r="H111" s="279">
        <f>'6-x'!P856</f>
        <v>640.30000000000007</v>
      </c>
      <c r="I111" s="284"/>
    </row>
    <row r="112" spans="1:9">
      <c r="A112" s="257" t="s">
        <v>29</v>
      </c>
      <c r="B112" s="324">
        <f>'6-x'!J857</f>
        <v>0</v>
      </c>
      <c r="C112" s="324">
        <f>'6-x'!K857</f>
        <v>111</v>
      </c>
      <c r="D112" s="324">
        <f>'6-x'!L857</f>
        <v>2.2000000000000002</v>
      </c>
      <c r="E112" s="324">
        <f>'6-x'!M857</f>
        <v>510.8</v>
      </c>
      <c r="F112" s="324">
        <f>'6-x'!N857</f>
        <v>206.4</v>
      </c>
      <c r="G112" s="324">
        <f>'6-x'!O857</f>
        <v>5.9</v>
      </c>
      <c r="H112" s="279">
        <f>'6-x'!P857</f>
        <v>836.3</v>
      </c>
      <c r="I112" s="284"/>
    </row>
    <row r="113" spans="1:8">
      <c r="A113" s="258" t="s">
        <v>478</v>
      </c>
      <c r="B113" s="306">
        <f>'6-x'!J849</f>
        <v>0.87714931610030611</v>
      </c>
      <c r="C113" s="306">
        <f>'6-x'!K849</f>
        <v>0.89398639365241295</v>
      </c>
      <c r="D113" s="306">
        <f>'6-x'!L849</f>
        <v>0.90001877625378024</v>
      </c>
      <c r="E113" s="306">
        <f>'6-x'!M849</f>
        <v>0.90141968678720619</v>
      </c>
      <c r="F113" s="306">
        <f>'6-x'!N849</f>
        <v>0.86309420565421124</v>
      </c>
      <c r="G113" s="306">
        <f>'6-x'!O849</f>
        <v>0.89870722439062067</v>
      </c>
      <c r="H113" s="306">
        <f>'6-x'!P849</f>
        <v>0.89220256502901085</v>
      </c>
    </row>
    <row r="115" spans="1:8" ht="14.7" customHeight="1">
      <c r="A115" s="283">
        <v>2005</v>
      </c>
      <c r="B115" s="896" t="s">
        <v>200</v>
      </c>
      <c r="C115" s="897"/>
      <c r="D115" s="897"/>
      <c r="E115" s="897"/>
      <c r="F115" s="897"/>
      <c r="G115" s="897"/>
      <c r="H115" s="898"/>
    </row>
    <row r="116" spans="1:8">
      <c r="A116" s="258" t="s">
        <v>287</v>
      </c>
      <c r="B116" s="279">
        <f>'6-x'!J935</f>
        <v>70.2</v>
      </c>
      <c r="C116" s="279">
        <f>'6-x'!K935</f>
        <v>2885.8</v>
      </c>
      <c r="D116" s="279">
        <f>'6-x'!L935</f>
        <v>58.1</v>
      </c>
      <c r="E116" s="279">
        <f>'6-x'!M935</f>
        <v>1266.9000000000001</v>
      </c>
      <c r="F116" s="279">
        <f>'6-x'!N935</f>
        <v>304.5</v>
      </c>
      <c r="G116" s="279">
        <f>'6-x'!O935</f>
        <v>25.939999999999998</v>
      </c>
      <c r="H116" s="279">
        <f>'6-x'!P935</f>
        <v>4611.4399999999996</v>
      </c>
    </row>
    <row r="117" spans="1:8">
      <c r="A117" s="257" t="s">
        <v>25</v>
      </c>
      <c r="B117" s="324">
        <f>'6-x'!J936</f>
        <v>0</v>
      </c>
      <c r="C117" s="324">
        <f>'6-x'!K936</f>
        <v>139.69999999999999</v>
      </c>
      <c r="D117" s="324">
        <f>'6-x'!L936</f>
        <v>0.4</v>
      </c>
      <c r="E117" s="324">
        <f>'6-x'!M936</f>
        <v>3.2</v>
      </c>
      <c r="F117" s="324">
        <f>'6-x'!N936</f>
        <v>6.1</v>
      </c>
      <c r="G117" s="324">
        <f>'6-x'!O936</f>
        <v>6.8</v>
      </c>
      <c r="H117" s="279">
        <f>'6-x'!P936</f>
        <v>156.19999999999999</v>
      </c>
    </row>
    <row r="118" spans="1:8">
      <c r="A118" s="257" t="s">
        <v>26</v>
      </c>
      <c r="B118" s="324">
        <f>'6-x'!J937</f>
        <v>0</v>
      </c>
      <c r="C118" s="324">
        <f>'6-x'!K937</f>
        <v>571.1</v>
      </c>
      <c r="D118" s="324">
        <f>'6-x'!L937</f>
        <v>0</v>
      </c>
      <c r="E118" s="324">
        <f>'6-x'!M937</f>
        <v>80.8</v>
      </c>
      <c r="F118" s="324">
        <f>'6-x'!N937</f>
        <v>3.2</v>
      </c>
      <c r="G118" s="324">
        <f>'6-x'!O937</f>
        <v>0.04</v>
      </c>
      <c r="H118" s="279">
        <f>'6-x'!P937</f>
        <v>655.14</v>
      </c>
    </row>
    <row r="119" spans="1:8">
      <c r="A119" s="257" t="s">
        <v>27</v>
      </c>
      <c r="B119" s="324">
        <f>'6-x'!J938</f>
        <v>0</v>
      </c>
      <c r="C119" s="324">
        <f>'6-x'!K938</f>
        <v>1178.9000000000001</v>
      </c>
      <c r="D119" s="324">
        <f>'6-x'!L938</f>
        <v>57.5</v>
      </c>
      <c r="E119" s="324">
        <f>'6-x'!M938</f>
        <v>208.6</v>
      </c>
      <c r="F119" s="324">
        <f>'6-x'!N938</f>
        <v>22.4</v>
      </c>
      <c r="G119" s="324">
        <f>'6-x'!O938</f>
        <v>0.5</v>
      </c>
      <c r="H119" s="279">
        <f>'6-x'!P938</f>
        <v>1467.9</v>
      </c>
    </row>
    <row r="120" spans="1:8">
      <c r="A120" s="257" t="s">
        <v>28</v>
      </c>
      <c r="B120" s="324">
        <f>'6-x'!J939</f>
        <v>70.2</v>
      </c>
      <c r="C120" s="324">
        <f>'6-x'!K939</f>
        <v>812.2</v>
      </c>
      <c r="D120" s="324">
        <f>'6-x'!L939</f>
        <v>0.2</v>
      </c>
      <c r="E120" s="324">
        <f>'6-x'!M939</f>
        <v>422.8</v>
      </c>
      <c r="F120" s="324">
        <f>'6-x'!N939</f>
        <v>95.7</v>
      </c>
      <c r="G120" s="324">
        <f>'6-x'!O939</f>
        <v>4</v>
      </c>
      <c r="H120" s="279">
        <f>'6-x'!P939</f>
        <v>1405.1000000000001</v>
      </c>
    </row>
    <row r="121" spans="1:8">
      <c r="A121" s="257" t="s">
        <v>29</v>
      </c>
      <c r="B121" s="324">
        <f>'6-x'!J940</f>
        <v>0</v>
      </c>
      <c r="C121" s="324">
        <f>'6-x'!K940</f>
        <v>183.9</v>
      </c>
      <c r="D121" s="324">
        <f>'6-x'!L940</f>
        <v>0</v>
      </c>
      <c r="E121" s="324">
        <f>'6-x'!M940</f>
        <v>551.5</v>
      </c>
      <c r="F121" s="324">
        <f>'6-x'!N940</f>
        <v>177.1</v>
      </c>
      <c r="G121" s="324">
        <f>'6-x'!O940</f>
        <v>14.6</v>
      </c>
      <c r="H121" s="279">
        <f>'6-x'!P940</f>
        <v>927.1</v>
      </c>
    </row>
  </sheetData>
  <mergeCells count="20">
    <mergeCell ref="A2:H2"/>
    <mergeCell ref="B86:H86"/>
    <mergeCell ref="B88:H88"/>
    <mergeCell ref="B75:H75"/>
    <mergeCell ref="B77:H77"/>
    <mergeCell ref="B63:H63"/>
    <mergeCell ref="B65:H65"/>
    <mergeCell ref="B51:H51"/>
    <mergeCell ref="B53:H53"/>
    <mergeCell ref="B39:H39"/>
    <mergeCell ref="B41:H41"/>
    <mergeCell ref="B27:H27"/>
    <mergeCell ref="B29:H29"/>
    <mergeCell ref="B15:H15"/>
    <mergeCell ref="B17:H17"/>
    <mergeCell ref="B115:H115"/>
    <mergeCell ref="B97:H97"/>
    <mergeCell ref="B106:H106"/>
    <mergeCell ref="B3:H3"/>
    <mergeCell ref="B5:H5"/>
  </mergeCells>
  <hyperlinks>
    <hyperlink ref="A1" location="Indice!A1" display="Torna indietro" xr:uid="{00000000-0004-0000-17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30"/>
  <dimension ref="A1:V28"/>
  <sheetViews>
    <sheetView zoomScale="85" zoomScaleNormal="85" workbookViewId="0">
      <selection activeCell="O30" sqref="O30"/>
    </sheetView>
  </sheetViews>
  <sheetFormatPr defaultRowHeight="14.4"/>
  <cols>
    <col min="1" max="1" width="60" bestFit="1" customWidth="1"/>
    <col min="2" max="2" width="9.77734375" customWidth="1"/>
    <col min="3" max="6" width="8.21875" bestFit="1" customWidth="1"/>
    <col min="7" max="7" width="9.5546875" bestFit="1" customWidth="1"/>
    <col min="8" max="11" width="8.21875" bestFit="1" customWidth="1"/>
    <col min="12" max="12" width="8.77734375" bestFit="1" customWidth="1"/>
    <col min="13" max="14" width="8.21875" bestFit="1" customWidth="1"/>
    <col min="15" max="20" width="8.44140625" customWidth="1"/>
    <col min="21" max="21" width="9.21875" customWidth="1"/>
  </cols>
  <sheetData>
    <row r="1" spans="1:22" ht="15.6">
      <c r="A1" s="113" t="s">
        <v>57</v>
      </c>
    </row>
    <row r="2" spans="1:22" ht="15.6">
      <c r="A2" s="47" t="s">
        <v>629</v>
      </c>
    </row>
    <row r="3" spans="1:22" ht="15.6">
      <c r="A3" s="257"/>
      <c r="B3" s="627">
        <f>'5-x'!K50</f>
        <v>2005</v>
      </c>
      <c r="C3" s="627">
        <f>'5-x'!L50</f>
        <v>2006</v>
      </c>
      <c r="D3" s="627">
        <f>'5-x'!M50</f>
        <v>2007</v>
      </c>
      <c r="E3" s="627">
        <f>'5-x'!N50</f>
        <v>2008</v>
      </c>
      <c r="F3" s="627">
        <f>'5-x'!O50</f>
        <v>2009</v>
      </c>
      <c r="G3" s="627">
        <f>'5-x'!P50</f>
        <v>2010</v>
      </c>
      <c r="H3" s="627">
        <f>'5-x'!Q50</f>
        <v>2011</v>
      </c>
      <c r="I3" s="627">
        <f>'5-x'!R50</f>
        <v>2012</v>
      </c>
      <c r="J3" s="627">
        <f>'5-x'!S50</f>
        <v>2013</v>
      </c>
      <c r="K3" s="627">
        <f>'5-x'!T50</f>
        <v>2014</v>
      </c>
      <c r="L3" s="627">
        <f>'5-x'!U50</f>
        <v>2015</v>
      </c>
      <c r="M3" s="627">
        <f>'5-x'!V50</f>
        <v>2016</v>
      </c>
      <c r="N3" s="627">
        <f>'5-x'!W50</f>
        <v>2017</v>
      </c>
      <c r="O3" s="627">
        <f>'5-x'!X50</f>
        <v>2018</v>
      </c>
      <c r="P3" s="627">
        <f>'5-x'!Y50</f>
        <v>2019</v>
      </c>
      <c r="Q3" s="627">
        <f>'5-x'!Z50</f>
        <v>2020</v>
      </c>
      <c r="R3" s="627">
        <f>'5-x'!AA50</f>
        <v>2021</v>
      </c>
      <c r="S3" s="627">
        <f>'5-x'!AB50</f>
        <v>2022</v>
      </c>
      <c r="T3" s="627">
        <f>'5-x'!AC50</f>
        <v>2023</v>
      </c>
      <c r="U3" s="765" t="s">
        <v>597</v>
      </c>
    </row>
    <row r="4" spans="1:22">
      <c r="A4" s="257" t="s">
        <v>259</v>
      </c>
      <c r="B4" s="262">
        <f>'5-x'!K54</f>
        <v>2.047641</v>
      </c>
      <c r="C4" s="262">
        <f>'5-x'!L54</f>
        <v>2.0270000000000001</v>
      </c>
      <c r="D4" s="262">
        <f>'5-x'!M54</f>
        <v>1.9950000000000001</v>
      </c>
      <c r="E4" s="262">
        <f>'5-x'!N54</f>
        <v>1.9710000000000001</v>
      </c>
      <c r="F4" s="262">
        <f>'5-x'!O54</f>
        <v>2.0129999999999999</v>
      </c>
      <c r="G4" s="262">
        <f>'5-x'!P54</f>
        <v>1.9969319999999999</v>
      </c>
      <c r="H4" s="262">
        <f>'5-x'!Q54</f>
        <v>1.9930000000000001</v>
      </c>
      <c r="I4" s="262">
        <f>'5-x'!R54</f>
        <v>2.028</v>
      </c>
      <c r="J4" s="262">
        <f>'5-x'!S54</f>
        <v>2.085</v>
      </c>
      <c r="K4" s="262">
        <f>'5-x'!T54</f>
        <v>2.1309999999999998</v>
      </c>
      <c r="L4" s="262">
        <f>'5-x'!U54</f>
        <v>2.0598464220884685</v>
      </c>
      <c r="M4" s="262">
        <f>'5-x'!V54</f>
        <v>2.0009171682430495</v>
      </c>
      <c r="N4" s="262">
        <f>'5-x'!W54</f>
        <v>1.9372516002675073</v>
      </c>
      <c r="O4" s="262">
        <f>'5-x'!X54</f>
        <v>1.9531623196713481</v>
      </c>
      <c r="P4" s="262">
        <f>'5-x'!Y54</f>
        <v>1.8902505493455621</v>
      </c>
      <c r="Q4" s="262">
        <f>'5-x'!Z54</f>
        <v>1.882463865218986</v>
      </c>
      <c r="R4" s="262">
        <f>'5-x'!AA54</f>
        <v>1.8760784261575809</v>
      </c>
      <c r="S4" s="262">
        <f>'5-x'!AB54</f>
        <v>1.904650548799935</v>
      </c>
      <c r="T4" s="262">
        <f>'5-x'!AC54</f>
        <v>1.8950497432656714</v>
      </c>
      <c r="U4" s="766">
        <f>'5-x'!AD54</f>
        <v>1.8950497432656714</v>
      </c>
    </row>
    <row r="5" spans="1:22">
      <c r="A5" s="257" t="s">
        <v>260</v>
      </c>
      <c r="B5" s="262">
        <f>'5-x'!K55</f>
        <v>1.7031890000000001</v>
      </c>
      <c r="C5" s="262">
        <f>'5-x'!L55</f>
        <v>1.673</v>
      </c>
      <c r="D5" s="262">
        <f>'5-x'!M55</f>
        <v>1.698</v>
      </c>
      <c r="E5" s="262">
        <f>'5-x'!N55</f>
        <v>1.667</v>
      </c>
      <c r="F5" s="262">
        <f>'5-x'!O55</f>
        <v>1.6459999999999999</v>
      </c>
      <c r="G5" s="262">
        <f>'5-x'!P55</f>
        <v>1.6666460000000001</v>
      </c>
      <c r="H5" s="262">
        <f>'5-x'!Q55</f>
        <v>1.643</v>
      </c>
      <c r="I5" s="262">
        <f>'5-x'!R55</f>
        <v>1.6639999999999999</v>
      </c>
      <c r="J5" s="262">
        <f>'5-x'!S55</f>
        <v>1.5609999999999999</v>
      </c>
      <c r="K5" s="262">
        <f>'5-x'!T55</f>
        <v>1.5980000000000001</v>
      </c>
      <c r="L5" s="262">
        <f>'5-x'!U55</f>
        <v>1.5529343412630172</v>
      </c>
      <c r="M5" s="262">
        <f>'5-x'!V55</f>
        <v>1.5462823636189931</v>
      </c>
      <c r="N5" s="262">
        <f>'5-x'!W55</f>
        <v>1.5452749116270184</v>
      </c>
      <c r="O5" s="262">
        <f>'5-x'!X55</f>
        <v>1.5542956434508457</v>
      </c>
      <c r="P5" s="262">
        <f>'5-x'!Y55</f>
        <v>1.55412677940193</v>
      </c>
      <c r="Q5" s="262">
        <f>'5-x'!Z55</f>
        <v>1.553062903355533</v>
      </c>
      <c r="R5" s="262">
        <f>'5-x'!AA55</f>
        <v>1.5423816682213749</v>
      </c>
      <c r="S5" s="262">
        <f>'5-x'!AB55</f>
        <v>1.5277079810635823</v>
      </c>
      <c r="T5" s="262">
        <f>'5-x'!AC55</f>
        <v>1.5419406261669841</v>
      </c>
      <c r="U5" s="766">
        <f>'5-x'!AD55</f>
        <v>1.5419406261669841</v>
      </c>
    </row>
    <row r="6" spans="1:22">
      <c r="A6" s="257" t="s">
        <v>270</v>
      </c>
      <c r="B6" s="263">
        <f>'5-x'!K85</f>
        <v>53462.293437100001</v>
      </c>
      <c r="C6" s="263">
        <f>'5-x'!L85</f>
        <v>54917.812180000008</v>
      </c>
      <c r="D6" s="263">
        <f>'5-x'!M85</f>
        <v>55068.393650000013</v>
      </c>
      <c r="E6" s="263">
        <f>'5-x'!N85</f>
        <v>53501.866540000003</v>
      </c>
      <c r="F6" s="263">
        <f>'5-x'!O85</f>
        <v>46755.335189999998</v>
      </c>
      <c r="G6" s="263">
        <f>'5-x'!P85</f>
        <v>47762.929818239994</v>
      </c>
      <c r="H6" s="263">
        <f>'5-x'!Q85</f>
        <v>47670.66595000001</v>
      </c>
      <c r="I6" s="263">
        <f>'5-x'!R85</f>
        <v>45665.760760000005</v>
      </c>
      <c r="J6" s="263">
        <f>'5-x'!S85</f>
        <v>41098.64028</v>
      </c>
      <c r="K6" s="263">
        <f>'5-x'!T85</f>
        <v>38300.488140000001</v>
      </c>
      <c r="L6" s="263">
        <f>'5-x'!U85</f>
        <v>40343.115442426191</v>
      </c>
      <c r="M6" s="263">
        <f>'5-x'!V85</f>
        <v>40886.221686443103</v>
      </c>
      <c r="N6" s="263">
        <f>'5-x'!W85</f>
        <v>42043.682158904179</v>
      </c>
      <c r="O6" s="263">
        <f>'5-x'!X85</f>
        <v>39108.314983041942</v>
      </c>
      <c r="P6" s="263">
        <f>'5-x'!Y85</f>
        <v>39096.485204528522</v>
      </c>
      <c r="Q6" s="263">
        <f>'5-x'!Z85</f>
        <v>36458.897773000863</v>
      </c>
      <c r="R6" s="263">
        <f>'5-x'!AA85</f>
        <v>37644.945242189744</v>
      </c>
      <c r="S6" s="263">
        <f>'5-x'!AB85</f>
        <v>39315.659285373069</v>
      </c>
      <c r="T6" s="263">
        <f>'5-x'!AC85</f>
        <v>32239.752713528229</v>
      </c>
      <c r="U6" s="767">
        <f>'5-x'!AD85</f>
        <v>31021.159699229102</v>
      </c>
    </row>
    <row r="7" spans="1:22">
      <c r="A7" s="260" t="s">
        <v>263</v>
      </c>
      <c r="B7" s="259">
        <f>B8+B9</f>
        <v>21205.599999999999</v>
      </c>
      <c r="C7" s="259">
        <f t="shared" ref="C7:M7" si="0">C8+C9</f>
        <v>22588.5</v>
      </c>
      <c r="D7" s="259">
        <f t="shared" si="0"/>
        <v>23728.400000000001</v>
      </c>
      <c r="E7" s="259">
        <f t="shared" si="0"/>
        <v>22461.1</v>
      </c>
      <c r="F7" s="259">
        <f t="shared" si="0"/>
        <v>21472.799999999999</v>
      </c>
      <c r="G7" s="259">
        <f t="shared" si="0"/>
        <v>23998.799999999999</v>
      </c>
      <c r="H7" s="259">
        <f t="shared" si="0"/>
        <v>22520.7</v>
      </c>
      <c r="I7" s="259">
        <f t="shared" si="0"/>
        <v>22146.7</v>
      </c>
      <c r="J7" s="259">
        <f t="shared" si="0"/>
        <v>20052.3</v>
      </c>
      <c r="K7" s="259">
        <f t="shared" si="0"/>
        <v>19044.900000000001</v>
      </c>
      <c r="L7" s="259">
        <f t="shared" si="0"/>
        <v>20654.3</v>
      </c>
      <c r="M7" s="259">
        <f t="shared" si="0"/>
        <v>22164.2</v>
      </c>
      <c r="N7" s="259">
        <f t="shared" ref="N7:S7" si="1">N8+N9</f>
        <v>22923.9</v>
      </c>
      <c r="O7" s="259">
        <f t="shared" si="1"/>
        <v>22075.47</v>
      </c>
      <c r="P7" s="259">
        <f t="shared" si="1"/>
        <v>22495.7</v>
      </c>
      <c r="Q7" s="259">
        <f t="shared" si="1"/>
        <v>21332.83</v>
      </c>
      <c r="R7" s="259">
        <f t="shared" si="1"/>
        <v>21221.190000000002</v>
      </c>
      <c r="S7" s="259">
        <f t="shared" si="1"/>
        <v>21588.41</v>
      </c>
      <c r="T7" s="259">
        <f t="shared" ref="T7:U7" si="2">T8+T9</f>
        <v>19794.98</v>
      </c>
      <c r="U7" s="767">
        <f t="shared" si="2"/>
        <v>19345.876901773634</v>
      </c>
    </row>
    <row r="8" spans="1:22">
      <c r="A8" s="265" t="s">
        <v>261</v>
      </c>
      <c r="B8" s="264">
        <f>'5-x'!K82</f>
        <v>16082.7027703</v>
      </c>
      <c r="C8" s="264">
        <f>'5-x'!L82</f>
        <v>17005.02447</v>
      </c>
      <c r="D8" s="264">
        <f>'5-x'!M82</f>
        <v>18279.037919999999</v>
      </c>
      <c r="E8" s="264">
        <f>'5-x'!N82</f>
        <v>17157.547490000001</v>
      </c>
      <c r="F8" s="264">
        <f>'5-x'!O82</f>
        <v>16532.308779999996</v>
      </c>
      <c r="G8" s="264">
        <f>'5-x'!P82</f>
        <v>18577.769632800002</v>
      </c>
      <c r="H8" s="264">
        <f>'5-x'!Q82</f>
        <v>16677.895840000001</v>
      </c>
      <c r="I8" s="264">
        <f>'5-x'!R82</f>
        <v>16779.57632</v>
      </c>
      <c r="J8" s="264">
        <f>'5-x'!S82</f>
        <v>14250.812323999997</v>
      </c>
      <c r="K8" s="264">
        <f>'5-x'!T82</f>
        <v>13607.08186</v>
      </c>
      <c r="L8" s="264">
        <f>'5-x'!U82</f>
        <v>14888.680350142113</v>
      </c>
      <c r="M8" s="264">
        <f>'5-x'!V82</f>
        <v>16255.571678370117</v>
      </c>
      <c r="N8" s="264">
        <f>'5-x'!W82</f>
        <v>17017.818999515144</v>
      </c>
      <c r="O8" s="264">
        <f>'5-x'!X82</f>
        <v>16307.778691781314</v>
      </c>
      <c r="P8" s="264">
        <f>'5-x'!Y82</f>
        <v>16669.688166007454</v>
      </c>
      <c r="Q8" s="264">
        <f>'5-x'!Z82</f>
        <v>15600.905129932167</v>
      </c>
      <c r="R8" s="264">
        <f>'5-x'!AA82</f>
        <v>15668.931976927488</v>
      </c>
      <c r="S8" s="264">
        <f>'5-x'!AB82</f>
        <v>16108.382108531572</v>
      </c>
      <c r="T8" s="264">
        <f>'5-x'!AC82</f>
        <v>14849.566683863572</v>
      </c>
      <c r="U8" s="799">
        <f>'5-x'!AD82</f>
        <v>13931.382633072377</v>
      </c>
    </row>
    <row r="9" spans="1:22">
      <c r="A9" s="265" t="s">
        <v>262</v>
      </c>
      <c r="B9" s="264">
        <f>'5-x'!K84</f>
        <v>5122.8972296999982</v>
      </c>
      <c r="C9" s="264">
        <f>'5-x'!L84</f>
        <v>5583.4755299999997</v>
      </c>
      <c r="D9" s="264">
        <f>'5-x'!M84</f>
        <v>5449.3620800000026</v>
      </c>
      <c r="E9" s="264">
        <f>'5-x'!N84</f>
        <v>5303.5525099999977</v>
      </c>
      <c r="F9" s="264">
        <f>'5-x'!O84</f>
        <v>4940.4912200000035</v>
      </c>
      <c r="G9" s="264">
        <f>'5-x'!P84</f>
        <v>5421.0303671999973</v>
      </c>
      <c r="H9" s="264">
        <f>'5-x'!Q84</f>
        <v>5842.8041599999997</v>
      </c>
      <c r="I9" s="264">
        <f>'5-x'!R84</f>
        <v>5367.1236800000006</v>
      </c>
      <c r="J9" s="264">
        <f>'5-x'!S84</f>
        <v>5801.4876760000025</v>
      </c>
      <c r="K9" s="264">
        <f>'5-x'!T84</f>
        <v>5437.8181400000012</v>
      </c>
      <c r="L9" s="264">
        <f>'5-x'!U84</f>
        <v>5765.6196498578865</v>
      </c>
      <c r="M9" s="264">
        <f>'5-x'!V84</f>
        <v>5908.6283216298834</v>
      </c>
      <c r="N9" s="264">
        <f>'5-x'!W84</f>
        <v>5906.0810004848572</v>
      </c>
      <c r="O9" s="264">
        <f>'5-x'!X84</f>
        <v>5767.6913082186875</v>
      </c>
      <c r="P9" s="264">
        <f>'5-x'!Y84</f>
        <v>5826.0118339925466</v>
      </c>
      <c r="Q9" s="264">
        <f>'5-x'!Z84</f>
        <v>5731.9248700678345</v>
      </c>
      <c r="R9" s="264">
        <f>'5-x'!AA84</f>
        <v>5552.2580230725143</v>
      </c>
      <c r="S9" s="264">
        <f>'5-x'!AB84</f>
        <v>5480.0278914684277</v>
      </c>
      <c r="T9" s="264">
        <f>'5-x'!AC84</f>
        <v>4945.413316136428</v>
      </c>
      <c r="U9" s="799">
        <f>'5-x'!AD84</f>
        <v>5414.4942687012572</v>
      </c>
    </row>
    <row r="10" spans="1:22">
      <c r="A10" s="260" t="s">
        <v>264</v>
      </c>
      <c r="B10" s="263">
        <f>'5-x'!K83</f>
        <v>32256.693437099999</v>
      </c>
      <c r="C10" s="263">
        <f>'5-x'!L83</f>
        <v>32329.312180000004</v>
      </c>
      <c r="D10" s="263">
        <f>'5-x'!M83</f>
        <v>31339.993650000004</v>
      </c>
      <c r="E10" s="263">
        <f>'5-x'!N83</f>
        <v>31040.766540000004</v>
      </c>
      <c r="F10" s="263">
        <f>'5-x'!O83</f>
        <v>25282.535189999999</v>
      </c>
      <c r="G10" s="263">
        <f>'5-x'!P83</f>
        <v>23764.129818239995</v>
      </c>
      <c r="H10" s="263">
        <f>'5-x'!Q83</f>
        <v>25149.965950000005</v>
      </c>
      <c r="I10" s="263">
        <f>'5-x'!R83</f>
        <v>23519.06076</v>
      </c>
      <c r="J10" s="263">
        <f>'5-x'!S83</f>
        <v>21046.34028</v>
      </c>
      <c r="K10" s="263">
        <f>'5-x'!T83</f>
        <v>19255.588139999996</v>
      </c>
      <c r="L10" s="263">
        <f>'5-x'!U83</f>
        <v>19688.815442426192</v>
      </c>
      <c r="M10" s="263">
        <f>'5-x'!V83</f>
        <v>18722.021686443106</v>
      </c>
      <c r="N10" s="263">
        <f>'5-x'!W83</f>
        <v>19119.782158904174</v>
      </c>
      <c r="O10" s="263">
        <f>'5-x'!X83</f>
        <v>17032.844983041941</v>
      </c>
      <c r="P10" s="263">
        <f>'5-x'!Y83</f>
        <v>16600.785204528522</v>
      </c>
      <c r="Q10" s="263">
        <f>'5-x'!Z83</f>
        <v>15126.067773000857</v>
      </c>
      <c r="R10" s="263">
        <f>'5-x'!AA83</f>
        <v>16423.755242189738</v>
      </c>
      <c r="S10" s="263">
        <f>'5-x'!AB83</f>
        <v>17727.249285373073</v>
      </c>
      <c r="T10" s="263">
        <f>'5-x'!AC83</f>
        <v>12444.772713528231</v>
      </c>
      <c r="U10" s="767">
        <f>'5-x'!AD83</f>
        <v>11675.282797455469</v>
      </c>
    </row>
    <row r="11" spans="1:22">
      <c r="A11" s="266" t="s">
        <v>271</v>
      </c>
      <c r="B11" s="267">
        <f>'5-x'!K82+'5-x'!K83</f>
        <v>48339.396207400001</v>
      </c>
      <c r="C11" s="267">
        <f>'5-x'!L82+'5-x'!L83</f>
        <v>49334.336650000005</v>
      </c>
      <c r="D11" s="267">
        <f>'5-x'!M82+'5-x'!M83</f>
        <v>49619.031570000006</v>
      </c>
      <c r="E11" s="267">
        <f>'5-x'!N82+'5-x'!N83</f>
        <v>48198.314030000009</v>
      </c>
      <c r="F11" s="267">
        <f>'5-x'!O82+'5-x'!O83</f>
        <v>41814.843969999994</v>
      </c>
      <c r="G11" s="267">
        <f>'5-x'!P82+'5-x'!P83</f>
        <v>42341.899451039993</v>
      </c>
      <c r="H11" s="267">
        <f>'5-x'!Q82+'5-x'!Q83</f>
        <v>41827.86179000001</v>
      </c>
      <c r="I11" s="267">
        <f>'5-x'!R82+'5-x'!R83</f>
        <v>40298.63708</v>
      </c>
      <c r="J11" s="267">
        <f>'5-x'!S82+'5-x'!S83</f>
        <v>35297.152603999995</v>
      </c>
      <c r="K11" s="267">
        <f>'5-x'!T82+'5-x'!T83</f>
        <v>32862.67</v>
      </c>
      <c r="L11" s="267">
        <f>'5-x'!U82+'5-x'!U83</f>
        <v>34577.495792568305</v>
      </c>
      <c r="M11" s="267">
        <f>'5-x'!V82+'5-x'!V83</f>
        <v>34977.59336481322</v>
      </c>
      <c r="N11" s="267">
        <f>'5-x'!W82+'5-x'!W83</f>
        <v>36137.601158419318</v>
      </c>
      <c r="O11" s="267">
        <f>'5-x'!X82+'5-x'!X83</f>
        <v>33340.623674823255</v>
      </c>
      <c r="P11" s="267">
        <f>'5-x'!Y82+'5-x'!Y83</f>
        <v>33270.473370535976</v>
      </c>
      <c r="Q11" s="267">
        <f>'5-x'!Z82+'5-x'!Z83</f>
        <v>30726.972902933026</v>
      </c>
      <c r="R11" s="267">
        <f>'5-x'!AA82+'5-x'!AA83</f>
        <v>32092.687219117226</v>
      </c>
      <c r="S11" s="267">
        <f>'5-x'!AB82+'5-x'!AB83</f>
        <v>33835.631393904645</v>
      </c>
      <c r="T11" s="267">
        <f>'5-x'!AC82+'5-x'!AC83</f>
        <v>27294.339397391803</v>
      </c>
      <c r="U11" s="767">
        <f>'5-x'!AD82+'5-x'!AD83</f>
        <v>25606.665430527846</v>
      </c>
    </row>
    <row r="12" spans="1:22">
      <c r="A12" s="268"/>
      <c r="B12" s="493"/>
      <c r="C12" s="269"/>
      <c r="D12" s="269"/>
      <c r="E12" s="269"/>
      <c r="F12" s="269"/>
      <c r="G12" s="493"/>
      <c r="H12" s="269"/>
      <c r="I12" s="269"/>
      <c r="J12" s="269"/>
      <c r="K12" s="269"/>
      <c r="L12" s="493"/>
      <c r="M12" s="493"/>
      <c r="N12" s="493"/>
      <c r="O12" s="493"/>
      <c r="P12" s="493"/>
      <c r="Q12" s="493"/>
      <c r="R12" s="493"/>
      <c r="S12" s="493"/>
      <c r="T12" s="493"/>
      <c r="U12" s="493"/>
    </row>
    <row r="13" spans="1:22">
      <c r="A13" s="257" t="s">
        <v>433</v>
      </c>
      <c r="B13" s="261">
        <f>'5-x'!K106</f>
        <v>0.38288284854491461</v>
      </c>
      <c r="C13" s="261">
        <f>'5-x'!L106</f>
        <v>0.38691379399241171</v>
      </c>
      <c r="D13" s="261">
        <f>'5-x'!M106</f>
        <v>0.39009239020376812</v>
      </c>
      <c r="E13" s="261">
        <f>'5-x'!N106</f>
        <v>0.39401147817256377</v>
      </c>
      <c r="F13" s="261">
        <f>'5-x'!O106</f>
        <v>0.40219371853925423</v>
      </c>
      <c r="G13" s="261">
        <f>'5-x'!P106</f>
        <v>0.39937508483334744</v>
      </c>
      <c r="H13" s="261">
        <f>'5-x'!Q106</f>
        <v>0.3875628078420838</v>
      </c>
      <c r="I13" s="261">
        <f>'5-x'!R106</f>
        <v>0.3915064590346492</v>
      </c>
      <c r="J13" s="261">
        <f>'5-x'!S106</f>
        <v>0.39146488338840868</v>
      </c>
      <c r="K13" s="261">
        <f>'5-x'!T106</f>
        <v>0.38444109994724096</v>
      </c>
      <c r="L13" s="261">
        <f>'5-x'!U106</f>
        <v>0.39912866230453847</v>
      </c>
      <c r="M13" s="261">
        <f>'5-x'!V106</f>
        <v>0.40783234811130548</v>
      </c>
      <c r="N13" s="261">
        <f>'5-x'!W106</f>
        <v>0.41307596542550395</v>
      </c>
      <c r="O13" s="261">
        <f>'5-x'!X106</f>
        <v>0.40866882199393367</v>
      </c>
      <c r="P13" s="261">
        <f>'5-x'!Y106</f>
        <v>0.40997918276087014</v>
      </c>
      <c r="Q13" s="261">
        <f>'5-x'!Z106</f>
        <v>0.40488581567239196</v>
      </c>
      <c r="R13" s="261">
        <f>'5-x'!AA106</f>
        <v>0.41162153876390545</v>
      </c>
      <c r="S13" s="261">
        <f>'5-x'!AB106</f>
        <v>0.41996316816890733</v>
      </c>
      <c r="T13" s="261">
        <f>'5-x'!AC106</f>
        <v>0.41832261897623979</v>
      </c>
      <c r="U13" s="768">
        <f>'5-x'!AD106</f>
        <v>0.40156738698286654</v>
      </c>
      <c r="V13" t="s">
        <v>483</v>
      </c>
    </row>
    <row r="14" spans="1:22">
      <c r="A14" s="257" t="s">
        <v>434</v>
      </c>
      <c r="B14" s="261">
        <f>'5-x'!K91</f>
        <v>0.50484428202565024</v>
      </c>
      <c r="C14" s="261">
        <f>'5-x'!L91</f>
        <v>0.51395411109323685</v>
      </c>
      <c r="D14" s="261">
        <f>'5-x'!M91</f>
        <v>0.50638705998762401</v>
      </c>
      <c r="E14" s="261">
        <f>'5-x'!N91</f>
        <v>0.51580397592020721</v>
      </c>
      <c r="F14" s="261">
        <f>'5-x'!O91</f>
        <v>0.52238470708322327</v>
      </c>
      <c r="G14" s="261">
        <f>'5-x'!P91</f>
        <v>0.51591353404321327</v>
      </c>
      <c r="H14" s="261">
        <f>'5-x'!Q91</f>
        <v>0.52333854404077007</v>
      </c>
      <c r="I14" s="261">
        <f>'5-x'!R91</f>
        <v>0.51673391097294807</v>
      </c>
      <c r="J14" s="261">
        <f>'5-x'!S91</f>
        <v>0.55082974238243787</v>
      </c>
      <c r="K14" s="261">
        <f>'5-x'!T91</f>
        <v>0.53807586223966541</v>
      </c>
      <c r="L14" s="261">
        <f>'5-x'!U91</f>
        <v>0.55369065195613132</v>
      </c>
      <c r="M14" s="261">
        <f>'5-x'!V91</f>
        <v>0.55607258291853134</v>
      </c>
      <c r="N14" s="261">
        <f>'5-x'!W91</f>
        <v>0.55643511804230039</v>
      </c>
      <c r="O14" s="261">
        <f>'5-x'!X91</f>
        <v>0.55320571184897482</v>
      </c>
      <c r="P14" s="261">
        <f>'5-x'!Y91</f>
        <v>0.5532658205592963</v>
      </c>
      <c r="Q14" s="261">
        <f>'5-x'!Z91</f>
        <v>0.55364481760604289</v>
      </c>
      <c r="R14" s="261">
        <f>'5-x'!AA91</f>
        <v>0.5574788948642857</v>
      </c>
      <c r="S14" s="261">
        <f>'5-x'!AB91</f>
        <v>0.5628334986247604</v>
      </c>
      <c r="T14" s="261">
        <f>'5-x'!AC91</f>
        <v>0.55763835083353497</v>
      </c>
      <c r="U14" s="768">
        <f>'5-x'!AD91</f>
        <v>0.55763835083353497</v>
      </c>
      <c r="V14" t="s">
        <v>488</v>
      </c>
    </row>
    <row r="15" spans="1:22">
      <c r="A15" s="257" t="s">
        <v>435</v>
      </c>
      <c r="B15" s="261">
        <f>'5-x'!K90</f>
        <v>0.60033751702532845</v>
      </c>
      <c r="C15" s="261">
        <f>'5-x'!L90</f>
        <v>0.60779917300489494</v>
      </c>
      <c r="D15" s="261">
        <f>'5-x'!M90</f>
        <v>0.59584900640914251</v>
      </c>
      <c r="E15" s="261">
        <f>'5-x'!N90</f>
        <v>0.60495824970313383</v>
      </c>
      <c r="F15" s="261">
        <f>'5-x'!O90</f>
        <v>0.60332290695877699</v>
      </c>
      <c r="G15" s="261">
        <f>'5-x'!P90</f>
        <v>0.60091834773573316</v>
      </c>
      <c r="H15" s="261">
        <f>'5-x'!Q90</f>
        <v>0.6164720435478882</v>
      </c>
      <c r="I15" s="261">
        <f>'5-x'!R90</f>
        <v>0.61069922567041512</v>
      </c>
      <c r="J15" s="261">
        <f>'5-x'!S90</f>
        <v>0.64486206369959664</v>
      </c>
      <c r="K15" s="261">
        <f>'5-x'!T90</f>
        <v>0.63833565748060017</v>
      </c>
      <c r="L15" s="261">
        <f>'5-x'!U90</f>
        <v>0.64587129060447934</v>
      </c>
      <c r="M15" s="261">
        <f>'5-x'!V90</f>
        <v>0.64465552042813812</v>
      </c>
      <c r="N15" s="261">
        <f>'5-x'!W90</f>
        <v>0.64217747087882182</v>
      </c>
      <c r="O15" s="261">
        <f>'5-x'!X90</f>
        <v>0.64089490827163231</v>
      </c>
      <c r="P15" s="261">
        <f>'5-x'!Y90</f>
        <v>0.64025430204364653</v>
      </c>
      <c r="Q15" s="261">
        <f>'5-x'!Z90</f>
        <v>0.64389301728775117</v>
      </c>
      <c r="R15" s="261">
        <f>'5-x'!AA90</f>
        <v>0.64533559799109108</v>
      </c>
      <c r="S15" s="261">
        <f>'5-x'!AB90</f>
        <v>0.64570210858812294</v>
      </c>
      <c r="T15" s="261">
        <f>'5-x'!AC90</f>
        <v>0.63927548300353576</v>
      </c>
      <c r="U15" s="768">
        <f>'5-x'!AD90</f>
        <v>0.62252025101016228</v>
      </c>
      <c r="V15" t="s">
        <v>489</v>
      </c>
    </row>
    <row r="16" spans="1:22">
      <c r="A16" s="257" t="s">
        <v>436</v>
      </c>
      <c r="B16" s="261">
        <f>'5-x'!K92</f>
        <v>0.4199199116734747</v>
      </c>
      <c r="C16" s="261">
        <f>'5-x'!L92</f>
        <v>0.4241959683566775</v>
      </c>
      <c r="D16" s="261">
        <f>'5-x'!M92</f>
        <v>0.43100011421503026</v>
      </c>
      <c r="E16" s="261">
        <f>'5-x'!N92</f>
        <v>0.43624821301825734</v>
      </c>
      <c r="F16" s="261">
        <f>'5-x'!O92</f>
        <v>0.42714616386437421</v>
      </c>
      <c r="G16" s="261">
        <f>'5-x'!P92</f>
        <v>0.4305831284485328</v>
      </c>
      <c r="H16" s="261">
        <f>'5-x'!Q92</f>
        <v>0.43143262812794042</v>
      </c>
      <c r="I16" s="261">
        <f>'5-x'!R92</f>
        <v>0.42398679874703415</v>
      </c>
      <c r="J16" s="261">
        <f>'5-x'!S92</f>
        <v>0.41239579273812249</v>
      </c>
      <c r="K16" s="261">
        <f>'5-x'!T92</f>
        <v>0.40349377187188434</v>
      </c>
      <c r="L16" s="261">
        <f>'5-x'!U92</f>
        <v>0.41743171657777883</v>
      </c>
      <c r="M16" s="261">
        <f>'5-x'!V92</f>
        <v>0.42972554861628376</v>
      </c>
      <c r="N16" s="261">
        <f>'5-x'!W92</f>
        <v>0.44384798946107612</v>
      </c>
      <c r="O16" s="261">
        <f>'5-x'!X92</f>
        <v>0.44023234484867019</v>
      </c>
      <c r="P16" s="261">
        <f>'5-x'!Y92</f>
        <v>0.45488426291248996</v>
      </c>
      <c r="Q16" s="261">
        <f>'5-x'!Z92</f>
        <v>0.45676586081983572</v>
      </c>
      <c r="R16" s="261">
        <f>'5-x'!AA92</f>
        <v>0.45832051361522497</v>
      </c>
      <c r="S16" s="261">
        <f>'5-x'!AB92</f>
        <v>0.45144513695740618</v>
      </c>
      <c r="T16" s="261">
        <f>'5-x'!AC92</f>
        <v>0.4537322732105411</v>
      </c>
      <c r="U16" s="768">
        <f>'5-x'!AD92</f>
        <v>0.45373227321054105</v>
      </c>
      <c r="V16" t="s">
        <v>484</v>
      </c>
    </row>
    <row r="17" spans="1:22">
      <c r="A17" s="268"/>
      <c r="B17" s="269"/>
      <c r="C17" s="269"/>
      <c r="D17" s="269"/>
      <c r="E17" s="269"/>
      <c r="F17" s="269"/>
      <c r="G17" s="269"/>
      <c r="H17" s="269"/>
      <c r="I17" s="269"/>
      <c r="J17" s="269"/>
      <c r="K17" s="269"/>
      <c r="L17" s="269"/>
      <c r="M17" s="269"/>
      <c r="N17" s="270"/>
      <c r="O17" s="270"/>
      <c r="P17" s="270"/>
      <c r="Q17" s="270"/>
      <c r="R17" s="270"/>
      <c r="S17" s="270"/>
      <c r="T17" s="270"/>
      <c r="U17" s="572"/>
    </row>
    <row r="18" spans="1:22">
      <c r="A18" s="258" t="s">
        <v>431</v>
      </c>
      <c r="B18" s="573">
        <f>'5-x'!K105</f>
        <v>0.40702275069904564</v>
      </c>
      <c r="C18" s="573">
        <f>'5-x'!L105</f>
        <v>0.41047048525408614</v>
      </c>
      <c r="D18" s="573">
        <f>'5-x'!M105</f>
        <v>0.41496791524857513</v>
      </c>
      <c r="E18" s="573">
        <f>'5-x'!N105</f>
        <v>0.41998888298879389</v>
      </c>
      <c r="F18" s="573">
        <f>'5-x'!O105</f>
        <v>0.41679473353926416</v>
      </c>
      <c r="G18" s="573">
        <f>'5-x'!P105</f>
        <v>0.41630068344651383</v>
      </c>
      <c r="H18" s="573">
        <f>'5-x'!Q105</f>
        <v>0.41217846699785465</v>
      </c>
      <c r="I18" s="573">
        <f>'5-x'!R105</f>
        <v>0.40964893699794647</v>
      </c>
      <c r="J18" s="573">
        <f>'5-x'!S105</f>
        <v>0.4037577639024072</v>
      </c>
      <c r="K18" s="573">
        <f>'5-x'!T105</f>
        <v>0.39550333431500373</v>
      </c>
      <c r="L18" s="573">
        <f>'5-x'!U105</f>
        <v>0.40932931845523768</v>
      </c>
      <c r="M18" s="573">
        <f>'5-x'!V105</f>
        <v>0.41940434400834975</v>
      </c>
      <c r="N18" s="573">
        <f>'5-x'!W105</f>
        <v>0.42842166174604429</v>
      </c>
      <c r="O18" s="573">
        <f>'5-x'!X105</f>
        <v>0.42374105813381252</v>
      </c>
      <c r="P18" s="573">
        <f>'5-x'!Y105</f>
        <v>0.43047565006585176</v>
      </c>
      <c r="Q18" s="573">
        <f>'5-x'!Z105</f>
        <v>0.42759274687991955</v>
      </c>
      <c r="R18" s="573">
        <f>'5-x'!AA105</f>
        <v>0.43331764241954573</v>
      </c>
      <c r="S18" s="573">
        <f>'5-x'!AB105</f>
        <v>0.43569577498609607</v>
      </c>
      <c r="T18" s="573">
        <f>'5-x'!AC105</f>
        <v>0.43362702056282326</v>
      </c>
      <c r="U18" s="769">
        <f>'5-x'!AD105</f>
        <v>0.42302920207838601</v>
      </c>
      <c r="V18" t="s">
        <v>485</v>
      </c>
    </row>
    <row r="19" spans="1:22">
      <c r="A19" s="258" t="s">
        <v>432</v>
      </c>
      <c r="B19" s="573">
        <f>'5-x'!K89</f>
        <v>0.45015807893183429</v>
      </c>
      <c r="C19" s="573">
        <f>'5-x'!L89</f>
        <v>0.45692599810435203</v>
      </c>
      <c r="D19" s="573">
        <f>'5-x'!M89</f>
        <v>0.4605413645929482</v>
      </c>
      <c r="E19" s="573">
        <f>'5-x'!N89</f>
        <v>0.46620280435460959</v>
      </c>
      <c r="F19" s="573">
        <f>'5-x'!O89</f>
        <v>0.46603970317421783</v>
      </c>
      <c r="G19" s="573">
        <f>'5-x'!P89</f>
        <v>0.46959963026063073</v>
      </c>
      <c r="H19" s="573">
        <f>'5-x'!Q89</f>
        <v>0.46975439745608444</v>
      </c>
      <c r="I19" s="573">
        <f>'5-x'!R89</f>
        <v>0.46420751936101312</v>
      </c>
      <c r="J19" s="573">
        <f>'5-x'!S89</f>
        <v>0.47011993531177143</v>
      </c>
      <c r="K19" s="573">
        <f>'5-x'!T89</f>
        <v>0.46094765779111235</v>
      </c>
      <c r="L19" s="573">
        <f>'5-x'!U89</f>
        <v>0.47758287781958286</v>
      </c>
      <c r="M19" s="573">
        <f>'5-x'!V89</f>
        <v>0.49025268281130641</v>
      </c>
      <c r="N19" s="573">
        <f>'5-x'!W89</f>
        <v>0.49843995171338923</v>
      </c>
      <c r="O19" s="573">
        <f>'5-x'!X89</f>
        <v>0.49704525429314655</v>
      </c>
      <c r="P19" s="573">
        <f>'5-x'!Y89</f>
        <v>0.5058564901157655</v>
      </c>
      <c r="Q19" s="573">
        <f>'5-x'!Z89</f>
        <v>0.50735750300621152</v>
      </c>
      <c r="R19" s="573">
        <f>'5-x'!AA89</f>
        <v>0.5082846073307804</v>
      </c>
      <c r="S19" s="573">
        <f>'5-x'!AB89</f>
        <v>0.5062611789923851</v>
      </c>
      <c r="T19" s="573">
        <f>'5-x'!AC89</f>
        <v>0.51219513721535048</v>
      </c>
      <c r="U19" s="769">
        <f>'5-x'!AD89</f>
        <v>0.51247814639176792</v>
      </c>
      <c r="V19" t="s">
        <v>487</v>
      </c>
    </row>
    <row r="20" spans="1:22">
      <c r="A20" s="258" t="s">
        <v>384</v>
      </c>
      <c r="B20" s="573">
        <f>'5-x'!K88</f>
        <v>0.49327525543593176</v>
      </c>
      <c r="C20" s="573">
        <f>'5-x'!L88</f>
        <v>0.50132387481501517</v>
      </c>
      <c r="D20" s="573">
        <f>'5-x'!M88</f>
        <v>0.50362630835511901</v>
      </c>
      <c r="E20" s="573">
        <f>'5-x'!N88</f>
        <v>0.50854834523639436</v>
      </c>
      <c r="F20" s="573">
        <f>'5-x'!O88</f>
        <v>0.5091650869875789</v>
      </c>
      <c r="G20" s="573">
        <f>'5-x'!P88</f>
        <v>0.51756742893612306</v>
      </c>
      <c r="H20" s="573">
        <f>'5-x'!Q88</f>
        <v>0.5203203635253083</v>
      </c>
      <c r="I20" s="573">
        <f>'5-x'!R88</f>
        <v>0.51595169784244399</v>
      </c>
      <c r="J20" s="573">
        <f>'5-x'!S88</f>
        <v>0.52739193389286099</v>
      </c>
      <c r="K20" s="573">
        <f>'5-x'!T88</f>
        <v>0.52175228553181907</v>
      </c>
      <c r="L20" s="573">
        <f>'5-x'!U88</f>
        <v>0.53565313385240021</v>
      </c>
      <c r="M20" s="573">
        <f>'5-x'!V88</f>
        <v>0.54778490693048398</v>
      </c>
      <c r="N20" s="573">
        <f>'5-x'!W88</f>
        <v>0.55333698150827981</v>
      </c>
      <c r="O20" s="573">
        <f>'5-x'!X88</f>
        <v>0.55482571373873157</v>
      </c>
      <c r="P20" s="573">
        <f>'5-x'!Y88</f>
        <v>0.56297349414953257</v>
      </c>
      <c r="Q20" s="573">
        <f>'5-x'!Z88</f>
        <v>0.56744063895228924</v>
      </c>
      <c r="R20" s="573">
        <f>'5-x'!AA88</f>
        <v>0.56506681683388105</v>
      </c>
      <c r="S20" s="573">
        <f>'5-x'!AB88</f>
        <v>0.55965006921177296</v>
      </c>
      <c r="T20" s="573">
        <f>'5-x'!AC88</f>
        <v>0.56929051535531749</v>
      </c>
      <c r="U20" s="769">
        <f>'5-x'!AD88</f>
        <v>0.56082311275131991</v>
      </c>
      <c r="V20" t="s">
        <v>486</v>
      </c>
    </row>
    <row r="21" spans="1:22">
      <c r="B21" s="200"/>
      <c r="C21" s="200"/>
      <c r="D21" s="200"/>
      <c r="E21" s="200"/>
      <c r="F21" s="200"/>
      <c r="G21" s="211"/>
      <c r="H21" s="211"/>
      <c r="I21" s="211"/>
      <c r="J21" s="211"/>
      <c r="K21" s="211"/>
      <c r="L21" s="211"/>
      <c r="M21" s="197"/>
      <c r="N21" s="197"/>
      <c r="O21" s="197"/>
    </row>
    <row r="23" spans="1:22">
      <c r="B23" s="200"/>
      <c r="G23" s="211"/>
      <c r="H23" s="211"/>
      <c r="I23" s="211"/>
      <c r="J23" s="211"/>
      <c r="K23" s="211"/>
      <c r="L23" s="211"/>
      <c r="M23" s="197"/>
      <c r="N23" s="227"/>
      <c r="O23" s="227"/>
      <c r="P23" s="227"/>
      <c r="Q23" s="227"/>
      <c r="R23" s="227"/>
      <c r="S23" s="227"/>
      <c r="T23" s="227"/>
    </row>
    <row r="24" spans="1:22">
      <c r="J24" s="256"/>
      <c r="K24" s="256"/>
      <c r="N24" s="227"/>
      <c r="O24" s="227"/>
      <c r="P24" s="227"/>
      <c r="Q24" s="227"/>
      <c r="R24" s="227"/>
      <c r="S24" s="227"/>
      <c r="T24" s="227"/>
    </row>
    <row r="25" spans="1:22">
      <c r="B25" s="199"/>
      <c r="C25" s="199"/>
      <c r="D25" s="199"/>
      <c r="E25" s="199"/>
      <c r="F25" s="199"/>
      <c r="G25" s="199"/>
      <c r="H25" s="199"/>
      <c r="I25" s="199"/>
      <c r="J25" s="256"/>
      <c r="K25" s="256"/>
      <c r="L25" s="199"/>
      <c r="M25" s="199"/>
      <c r="N25" s="227"/>
      <c r="O25" s="227"/>
      <c r="P25" s="227"/>
      <c r="Q25" s="227"/>
      <c r="R25" s="227"/>
      <c r="S25" s="227"/>
      <c r="T25" s="227"/>
    </row>
    <row r="26" spans="1:22">
      <c r="J26" s="256"/>
      <c r="K26" s="256"/>
    </row>
    <row r="27" spans="1:22">
      <c r="K27" s="256"/>
    </row>
    <row r="28" spans="1:22">
      <c r="J28" s="256"/>
      <c r="K28" s="256"/>
    </row>
  </sheetData>
  <hyperlinks>
    <hyperlink ref="A1" location="Indice!A1" display="Torna indietro" xr:uid="{00000000-0004-0000-18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1"/>
  <dimension ref="A1:X207"/>
  <sheetViews>
    <sheetView zoomScale="85" zoomScaleNormal="85" workbookViewId="0">
      <pane xSplit="1" ySplit="5" topLeftCell="E6" activePane="bottomRight" state="frozen"/>
      <selection activeCell="B19" sqref="B19"/>
      <selection pane="topRight" activeCell="B19" sqref="B19"/>
      <selection pane="bottomLeft" activeCell="B19" sqref="B19"/>
      <selection pane="bottomRight" activeCell="O30" sqref="O30"/>
    </sheetView>
  </sheetViews>
  <sheetFormatPr defaultRowHeight="14.4"/>
  <cols>
    <col min="1" max="1" width="41.21875" customWidth="1"/>
    <col min="2" max="8" width="10.77734375" customWidth="1"/>
    <col min="10" max="16" width="10.77734375" customWidth="1"/>
    <col min="21" max="21" width="10.33203125" customWidth="1"/>
  </cols>
  <sheetData>
    <row r="1" spans="1:24" ht="15.6">
      <c r="A1" s="113" t="s">
        <v>57</v>
      </c>
    </row>
    <row r="2" spans="1:24" ht="15.6">
      <c r="A2" s="47" t="s">
        <v>476</v>
      </c>
    </row>
    <row r="3" spans="1:24">
      <c r="B3" s="895" t="s">
        <v>11</v>
      </c>
      <c r="C3" s="895"/>
      <c r="D3" s="895"/>
      <c r="E3" s="895"/>
      <c r="F3" s="895"/>
      <c r="G3" s="895"/>
      <c r="H3" s="895"/>
      <c r="J3" s="895" t="s">
        <v>11</v>
      </c>
      <c r="K3" s="895"/>
      <c r="L3" s="895"/>
      <c r="M3" s="895"/>
      <c r="N3" s="895"/>
      <c r="O3" s="895"/>
      <c r="P3" s="895"/>
      <c r="R3" s="895" t="s">
        <v>11</v>
      </c>
      <c r="S3" s="895"/>
      <c r="T3" s="895"/>
      <c r="U3" s="895"/>
      <c r="V3" s="895"/>
      <c r="W3" s="895"/>
      <c r="X3" s="895"/>
    </row>
    <row r="4" spans="1:24" ht="28.8">
      <c r="B4" s="281" t="s">
        <v>5</v>
      </c>
      <c r="C4" s="281" t="s">
        <v>64</v>
      </c>
      <c r="D4" s="281" t="s">
        <v>7</v>
      </c>
      <c r="E4" s="281" t="s">
        <v>8</v>
      </c>
      <c r="F4" s="281" t="s">
        <v>267</v>
      </c>
      <c r="G4" s="281" t="s">
        <v>268</v>
      </c>
      <c r="H4" s="281" t="s">
        <v>10</v>
      </c>
      <c r="J4" s="281" t="s">
        <v>5</v>
      </c>
      <c r="K4" s="281" t="s">
        <v>64</v>
      </c>
      <c r="L4" s="281" t="s">
        <v>7</v>
      </c>
      <c r="M4" s="281" t="s">
        <v>8</v>
      </c>
      <c r="N4" s="281" t="s">
        <v>267</v>
      </c>
      <c r="O4" s="281" t="s">
        <v>268</v>
      </c>
      <c r="P4" s="281" t="s">
        <v>10</v>
      </c>
      <c r="R4" s="281" t="s">
        <v>5</v>
      </c>
      <c r="S4" s="281" t="s">
        <v>64</v>
      </c>
      <c r="T4" s="281" t="s">
        <v>7</v>
      </c>
      <c r="U4" s="281" t="s">
        <v>8</v>
      </c>
      <c r="V4" s="281" t="s">
        <v>267</v>
      </c>
      <c r="W4" s="281" t="s">
        <v>268</v>
      </c>
      <c r="X4" s="281" t="s">
        <v>10</v>
      </c>
    </row>
    <row r="5" spans="1:24">
      <c r="A5" s="283">
        <v>2023</v>
      </c>
      <c r="B5" s="896" t="s">
        <v>383</v>
      </c>
      <c r="C5" s="897"/>
      <c r="D5" s="897"/>
      <c r="E5" s="897"/>
      <c r="F5" s="897"/>
      <c r="G5" s="897"/>
      <c r="H5" s="898"/>
      <c r="J5" s="896" t="s">
        <v>382</v>
      </c>
      <c r="K5" s="897"/>
      <c r="L5" s="897"/>
      <c r="M5" s="897"/>
      <c r="N5" s="897"/>
      <c r="O5" s="897"/>
      <c r="P5" s="898"/>
      <c r="R5" s="896" t="s">
        <v>475</v>
      </c>
      <c r="S5" s="897"/>
      <c r="T5" s="897"/>
      <c r="U5" s="897"/>
      <c r="V5" s="897"/>
      <c r="W5" s="897"/>
      <c r="X5" s="898"/>
    </row>
    <row r="6" spans="1:24">
      <c r="A6" s="258" t="s">
        <v>286</v>
      </c>
      <c r="B6" s="306">
        <f>'6-x'!AK6</f>
        <v>0.36659877800407331</v>
      </c>
      <c r="C6" s="306">
        <f>'6-x'!AL6</f>
        <v>0.53998726931728791</v>
      </c>
      <c r="D6" s="306">
        <f>'6-x'!AM6</f>
        <v>0.38216560509554137</v>
      </c>
      <c r="E6" s="306">
        <f>'6-x'!AN6</f>
        <v>0.36510154266233308</v>
      </c>
      <c r="F6" s="306">
        <f>'6-x'!AO6</f>
        <v>0.30406811242861764</v>
      </c>
      <c r="G6" s="306">
        <f>'6-x'!AP6</f>
        <v>0.36332984674190505</v>
      </c>
      <c r="H6" s="306">
        <f>'6-x'!AQ6</f>
        <v>0.45373296413937336</v>
      </c>
      <c r="I6" s="56"/>
    </row>
    <row r="7" spans="1:24">
      <c r="A7" s="257" t="s">
        <v>18</v>
      </c>
      <c r="B7" s="262" t="str">
        <f>'6-x'!AK7</f>
        <v/>
      </c>
      <c r="C7" s="262">
        <f>'6-x'!AL7</f>
        <v>0.41532071988924785</v>
      </c>
      <c r="D7" s="262">
        <f>'6-x'!AM7</f>
        <v>0.38216560509554137</v>
      </c>
      <c r="E7" s="262">
        <f>'6-x'!AN7</f>
        <v>0.37554767369079911</v>
      </c>
      <c r="F7" s="262">
        <f>'6-x'!AO7</f>
        <v>0.40196516301920504</v>
      </c>
      <c r="G7" s="262">
        <f>'6-x'!AP7</f>
        <v>0.36411449377971072</v>
      </c>
      <c r="H7" s="306">
        <f>'6-x'!AQ7</f>
        <v>0.37737862437752673</v>
      </c>
      <c r="I7" s="56"/>
    </row>
    <row r="8" spans="1:24">
      <c r="A8" s="257" t="s">
        <v>19</v>
      </c>
      <c r="B8" s="262" t="str">
        <f>'6-x'!AK8</f>
        <v/>
      </c>
      <c r="C8" s="262">
        <f>'6-x'!AL8</f>
        <v>0.33812341504649196</v>
      </c>
      <c r="D8" s="262" t="str">
        <f>'6-x'!AM8</f>
        <v/>
      </c>
      <c r="E8" s="262">
        <f>'6-x'!AN8</f>
        <v>0.25403994072401381</v>
      </c>
      <c r="F8" s="262">
        <f>'6-x'!AO8</f>
        <v>0.27096191479753129</v>
      </c>
      <c r="G8" s="262">
        <f>'6-x'!AP8</f>
        <v>0.31171530002597631</v>
      </c>
      <c r="H8" s="306">
        <f>'6-x'!AQ8</f>
        <v>0.33089717271731262</v>
      </c>
      <c r="I8" s="56"/>
    </row>
    <row r="9" spans="1:24">
      <c r="A9" s="257" t="s">
        <v>20</v>
      </c>
      <c r="B9" s="262">
        <f>'6-x'!AK9</f>
        <v>0.36659877800407331</v>
      </c>
      <c r="C9" s="262">
        <f>'6-x'!AL9</f>
        <v>0.4784688995215311</v>
      </c>
      <c r="D9" s="262" t="str">
        <f>'6-x'!AM9</f>
        <v/>
      </c>
      <c r="E9" s="262">
        <f>'6-x'!AN9</f>
        <v>0.36422501011736141</v>
      </c>
      <c r="F9" s="262">
        <f>'6-x'!AO9</f>
        <v>0.25684931506849312</v>
      </c>
      <c r="G9" s="262">
        <f>'6-x'!AP9</f>
        <v>0.39991113085980889</v>
      </c>
      <c r="H9" s="306">
        <f>'6-x'!AQ9</f>
        <v>0.3425489336871626</v>
      </c>
      <c r="I9" s="56"/>
    </row>
    <row r="10" spans="1:24">
      <c r="A10" s="257" t="s">
        <v>21</v>
      </c>
      <c r="B10" s="262" t="str">
        <f>'6-x'!AK10</f>
        <v/>
      </c>
      <c r="C10" s="262">
        <f>'6-x'!AL10</f>
        <v>0.54462934947049912</v>
      </c>
      <c r="D10" s="262" t="str">
        <f>'6-x'!AM10</f>
        <v/>
      </c>
      <c r="E10" s="262">
        <f>'6-x'!AN10</f>
        <v>0.4250797024442084</v>
      </c>
      <c r="F10" s="262">
        <f>'6-x'!AO10</f>
        <v>0.46065259117082535</v>
      </c>
      <c r="G10" s="262">
        <f>'6-x'!AP10</f>
        <v>0.39991113085980889</v>
      </c>
      <c r="H10" s="306">
        <f>'6-x'!AQ10</f>
        <v>0.54117111456002354</v>
      </c>
      <c r="I10" s="56"/>
    </row>
    <row r="11" spans="1:24">
      <c r="A11" s="257" t="s">
        <v>23</v>
      </c>
      <c r="B11" s="262" t="str">
        <f>'6-x'!AK11</f>
        <v/>
      </c>
      <c r="C11" s="262" t="str">
        <f>'6-x'!AL11</f>
        <v/>
      </c>
      <c r="D11" s="262" t="str">
        <f>'6-x'!AM11</f>
        <v/>
      </c>
      <c r="E11" s="262" t="str">
        <f>'6-x'!AN11</f>
        <v/>
      </c>
      <c r="F11" s="262" t="str">
        <f>'6-x'!AO11</f>
        <v/>
      </c>
      <c r="G11" s="262" t="str">
        <f>'6-x'!AP11</f>
        <v/>
      </c>
      <c r="H11" s="306" t="str">
        <f>'6-x'!AQ11</f>
        <v/>
      </c>
      <c r="I11" s="56"/>
    </row>
    <row r="12" spans="1:24">
      <c r="A12" s="257" t="s">
        <v>388</v>
      </c>
      <c r="B12" s="262" t="str">
        <f>'6-x'!AK12</f>
        <v/>
      </c>
      <c r="C12" s="262" t="str">
        <f>'6-x'!AL12</f>
        <v/>
      </c>
      <c r="D12" s="262" t="str">
        <f>'6-x'!AM12</f>
        <v/>
      </c>
      <c r="E12" s="262" t="str">
        <f>'6-x'!AN12</f>
        <v/>
      </c>
      <c r="F12" s="262" t="str">
        <f>'6-x'!AO12</f>
        <v/>
      </c>
      <c r="G12" s="262" t="str">
        <f>'6-x'!AP12</f>
        <v/>
      </c>
      <c r="H12" s="306" t="str">
        <f>'6-x'!AQ12</f>
        <v/>
      </c>
      <c r="I12" s="56"/>
    </row>
    <row r="13" spans="1:24">
      <c r="A13" s="258" t="s">
        <v>287</v>
      </c>
      <c r="B13" s="306" t="str">
        <f>'6-x'!AK13</f>
        <v/>
      </c>
      <c r="C13" s="306">
        <f>'6-x'!AL13</f>
        <v>0.59379933531538109</v>
      </c>
      <c r="D13" s="306">
        <f>'6-x'!AM13</f>
        <v>0.4293597153340844</v>
      </c>
      <c r="E13" s="306">
        <f>'6-x'!AN13</f>
        <v>0.56275242092310795</v>
      </c>
      <c r="F13" s="306">
        <f>'6-x'!AO13</f>
        <v>0.43134251018938913</v>
      </c>
      <c r="G13" s="306">
        <f>'6-x'!AP13</f>
        <v>0.48176001394065399</v>
      </c>
      <c r="H13" s="306">
        <f>'6-x'!AQ13</f>
        <v>0.55763748227765775</v>
      </c>
      <c r="I13" s="56"/>
      <c r="J13" s="306" t="str">
        <f>'6-x'!AK29</f>
        <v/>
      </c>
      <c r="K13" s="306">
        <f>'6-x'!AL29</f>
        <v>0.66212192603617082</v>
      </c>
      <c r="L13" s="306">
        <f>'6-x'!AM29</f>
        <v>0.51518054943547886</v>
      </c>
      <c r="M13" s="306">
        <f>'6-x'!AN29</f>
        <v>0.76827797885207627</v>
      </c>
      <c r="N13" s="306">
        <f>'6-x'!AO29</f>
        <v>0.54096121060248914</v>
      </c>
      <c r="O13" s="306">
        <f>'6-x'!AP29</f>
        <v>0.57797103023334295</v>
      </c>
      <c r="P13" s="306">
        <f>'6-x'!AQ29</f>
        <v>0.63927457081520378</v>
      </c>
      <c r="R13" s="306" t="str">
        <f>'6-x'!AA65</f>
        <v/>
      </c>
      <c r="S13" s="306">
        <f>'6-x'!AB65</f>
        <v>0.91674661090543696</v>
      </c>
      <c r="T13" s="306">
        <f>'6-x'!AC65</f>
        <v>0.99992658395125178</v>
      </c>
      <c r="U13" s="306">
        <f>'6-x'!AD65</f>
        <v>0.90081080328774965</v>
      </c>
      <c r="V13" s="306">
        <f>'6-x'!AE65</f>
        <v>0.76340805154214164</v>
      </c>
      <c r="W13" s="306">
        <f>'6-x'!AF65</f>
        <v>0.43516920170667361</v>
      </c>
      <c r="X13" s="306">
        <f>'6-x'!AG65</f>
        <v>0.86184017296960624</v>
      </c>
    </row>
    <row r="14" spans="1:24">
      <c r="A14" s="257" t="s">
        <v>25</v>
      </c>
      <c r="B14" s="262" t="str">
        <f>'6-x'!AK14</f>
        <v/>
      </c>
      <c r="C14" s="262">
        <f>'6-x'!AL14</f>
        <v>0.64034151547492002</v>
      </c>
      <c r="D14" s="262">
        <f>'6-x'!AM14</f>
        <v>0.52075799218863017</v>
      </c>
      <c r="E14" s="262">
        <f>'6-x'!AN14</f>
        <v>0.60443250503693746</v>
      </c>
      <c r="F14" s="262">
        <f>'6-x'!AO14</f>
        <v>0.46338010039902178</v>
      </c>
      <c r="G14" s="262">
        <f>'6-x'!AP14</f>
        <v>0.48186320439030922</v>
      </c>
      <c r="H14" s="306">
        <f>'6-x'!AQ14</f>
        <v>0.57345850736429771</v>
      </c>
      <c r="I14" s="56"/>
      <c r="J14" s="262" t="str">
        <f>'6-x'!AK30</f>
        <v/>
      </c>
      <c r="K14" s="262">
        <f>'6-x'!AL30</f>
        <v>0.72822315817487626</v>
      </c>
      <c r="L14" s="262">
        <f>'6-x'!AM30</f>
        <v>0.62647631476441135</v>
      </c>
      <c r="M14" s="262">
        <f>'6-x'!AN30</f>
        <v>0.75666380059092686</v>
      </c>
      <c r="N14" s="262">
        <f>'6-x'!AO30</f>
        <v>0.64286869705660388</v>
      </c>
      <c r="O14" s="262">
        <f>'6-x'!AP30</f>
        <v>0.57784333562917334</v>
      </c>
      <c r="P14" s="306">
        <f>'6-x'!AQ30</f>
        <v>0.6750815071753854</v>
      </c>
      <c r="R14" s="262" t="str">
        <f>'6-x'!AA66</f>
        <v/>
      </c>
      <c r="S14" s="262">
        <f>'6-x'!AB66</f>
        <v>0.93285673308179429</v>
      </c>
      <c r="T14" s="262">
        <f>'6-x'!AC66</f>
        <v>1</v>
      </c>
      <c r="U14" s="262">
        <f>'6-x'!AD66</f>
        <v>0.68421052631578938</v>
      </c>
      <c r="V14" s="262">
        <f>'6-x'!AE66</f>
        <v>0.55689554561369381</v>
      </c>
      <c r="W14" s="262">
        <f>'6-x'!AF66</f>
        <v>0.43413607053559677</v>
      </c>
      <c r="X14" s="306">
        <f>'6-x'!AG66</f>
        <v>0.7808201260055373</v>
      </c>
    </row>
    <row r="15" spans="1:24">
      <c r="A15" s="257" t="s">
        <v>26</v>
      </c>
      <c r="B15" s="262" t="str">
        <f>'6-x'!AK15</f>
        <v/>
      </c>
      <c r="C15" s="262">
        <f>'6-x'!AL15</f>
        <v>0.67340067340067344</v>
      </c>
      <c r="D15" s="262" t="str">
        <f>'6-x'!AM15</f>
        <v/>
      </c>
      <c r="E15" s="262">
        <f>'6-x'!AN15</f>
        <v>0.71656050955414019</v>
      </c>
      <c r="F15" s="262">
        <f>'6-x'!AO15</f>
        <v>0.33616584181529557</v>
      </c>
      <c r="G15" s="262">
        <f>'6-x'!AP15</f>
        <v>0.46759319392128851</v>
      </c>
      <c r="H15" s="306">
        <f>'6-x'!AQ15</f>
        <v>0.67216755544589046</v>
      </c>
      <c r="I15" s="56"/>
      <c r="J15" s="262" t="str">
        <f>'6-x'!AK31</f>
        <v/>
      </c>
      <c r="K15" s="262">
        <f>'6-x'!AL31</f>
        <v>0.79210148439845374</v>
      </c>
      <c r="L15" s="262" t="str">
        <f>'6-x'!AM31</f>
        <v/>
      </c>
      <c r="M15" s="262">
        <f>'6-x'!AN31</f>
        <v>0.83752652656460658</v>
      </c>
      <c r="N15" s="262">
        <f>'6-x'!AO31</f>
        <v>0.60063771861391524</v>
      </c>
      <c r="O15" s="262">
        <f>'6-x'!AP31</f>
        <v>0.6577448538540468</v>
      </c>
      <c r="P15" s="306">
        <f>'6-x'!AQ31</f>
        <v>0.79291992433344138</v>
      </c>
      <c r="R15" s="262" t="str">
        <f>'6-x'!AA67</f>
        <v/>
      </c>
      <c r="S15" s="262">
        <f>'6-x'!AB67</f>
        <v>0.97470694772853039</v>
      </c>
      <c r="T15" s="262" t="str">
        <f>'6-x'!AC67</f>
        <v/>
      </c>
      <c r="U15" s="262">
        <f>'6-x'!AD67</f>
        <v>0.57393822393822391</v>
      </c>
      <c r="V15" s="262">
        <f>'6-x'!AE67</f>
        <v>0.83403361344537819</v>
      </c>
      <c r="W15" s="262">
        <f>'6-x'!AF67</f>
        <v>0.43925233644859818</v>
      </c>
      <c r="X15" s="306">
        <f>'6-x'!AG67</f>
        <v>0.94890408227885203</v>
      </c>
    </row>
    <row r="16" spans="1:24">
      <c r="A16" s="257" t="s">
        <v>27</v>
      </c>
      <c r="B16" s="262" t="str">
        <f>'6-x'!AK16</f>
        <v/>
      </c>
      <c r="C16" s="262">
        <f>'6-x'!AL16</f>
        <v>0.5823358136525395</v>
      </c>
      <c r="D16" s="262">
        <f>'6-x'!AM16</f>
        <v>0.43923865300146409</v>
      </c>
      <c r="E16" s="262">
        <f>'6-x'!AN16</f>
        <v>0.53667262969588558</v>
      </c>
      <c r="F16" s="262">
        <f>'6-x'!AO16</f>
        <v>0.58403634003893579</v>
      </c>
      <c r="G16" s="262">
        <f>'6-x'!AP16</f>
        <v>0.47682119205298013</v>
      </c>
      <c r="H16" s="306">
        <f>'6-x'!AQ16</f>
        <v>0.57971668590753878</v>
      </c>
      <c r="I16" s="56"/>
      <c r="J16" s="262" t="str">
        <f>'6-x'!AK32</f>
        <v/>
      </c>
      <c r="K16" s="262">
        <f>'6-x'!AL32</f>
        <v>0.62815807991351669</v>
      </c>
      <c r="L16" s="262">
        <f>'6-x'!AM32</f>
        <v>0.52613113583947968</v>
      </c>
      <c r="M16" s="262">
        <f>'6-x'!AN32</f>
        <v>0.72412529630849132</v>
      </c>
      <c r="N16" s="262">
        <f>'6-x'!AO32</f>
        <v>0.63500054128287664</v>
      </c>
      <c r="O16" s="262">
        <f>'6-x'!AP32</f>
        <v>0.58114072803839256</v>
      </c>
      <c r="P16" s="306">
        <f>'6-x'!AQ32</f>
        <v>0.63156310740369481</v>
      </c>
      <c r="R16" s="262" t="str">
        <f>'6-x'!AA68</f>
        <v/>
      </c>
      <c r="S16" s="262">
        <f>'6-x'!AB68</f>
        <v>0.86912363756468125</v>
      </c>
      <c r="T16" s="262">
        <f>'6-x'!AC68</f>
        <v>0.99985225677772027</v>
      </c>
      <c r="U16" s="262">
        <f>'6-x'!AD68</f>
        <v>0.92897283201293201</v>
      </c>
      <c r="V16" s="262">
        <f>'6-x'!AE68</f>
        <v>0.69218106995884776</v>
      </c>
      <c r="W16" s="262">
        <f>'6-x'!AF68</f>
        <v>0.58333333333333337</v>
      </c>
      <c r="X16" s="306">
        <f>'6-x'!AG68</f>
        <v>0.85732480613833784</v>
      </c>
    </row>
    <row r="17" spans="1:24">
      <c r="A17" s="257" t="s">
        <v>28</v>
      </c>
      <c r="B17" s="262" t="str">
        <f>'6-x'!AK17</f>
        <v/>
      </c>
      <c r="C17" s="262">
        <f>'6-x'!AL17</f>
        <v>0.75156576200417535</v>
      </c>
      <c r="D17" s="262" t="str">
        <f>'6-x'!AM17</f>
        <v/>
      </c>
      <c r="E17" s="262">
        <f>'6-x'!AN17</f>
        <v>0.73274984734378179</v>
      </c>
      <c r="F17" s="262">
        <f>'6-x'!AO17</f>
        <v>0.53595355069227335</v>
      </c>
      <c r="G17" s="262" t="str">
        <f>'6-x'!AP17</f>
        <v/>
      </c>
      <c r="H17" s="306">
        <f>'6-x'!AQ17</f>
        <v>0.61481764182801391</v>
      </c>
      <c r="I17" s="56"/>
      <c r="J17" s="262" t="str">
        <f>'6-x'!AK33</f>
        <v/>
      </c>
      <c r="K17" s="262">
        <f>'6-x'!AL33</f>
        <v>0.83979768631497576</v>
      </c>
      <c r="L17" s="262" t="str">
        <f>'6-x'!AM33</f>
        <v/>
      </c>
      <c r="M17" s="262">
        <f>'6-x'!AN33</f>
        <v>0.87341201673028412</v>
      </c>
      <c r="N17" s="262">
        <f>'6-x'!AO33</f>
        <v>0.7044793743739185</v>
      </c>
      <c r="O17" s="262" t="str">
        <f>'6-x'!AP33</f>
        <v/>
      </c>
      <c r="P17" s="306">
        <f>'6-x'!AQ33</f>
        <v>0.7878020997228149</v>
      </c>
      <c r="R17" s="262" t="str">
        <f>'6-x'!AA69</f>
        <v/>
      </c>
      <c r="S17" s="262">
        <f>'6-x'!AB69</f>
        <v>0.99150008462305139</v>
      </c>
      <c r="T17" s="262" t="str">
        <f>'6-x'!AC69</f>
        <v/>
      </c>
      <c r="U17" s="262">
        <f>'6-x'!AD69</f>
        <v>0.97856503701293418</v>
      </c>
      <c r="V17" s="262">
        <f>'6-x'!AE69</f>
        <v>0.99473803326920884</v>
      </c>
      <c r="W17" s="262" t="str">
        <f>'6-x'!AF69</f>
        <v/>
      </c>
      <c r="X17" s="306">
        <f>'6-x'!AG69</f>
        <v>0.98851136956060015</v>
      </c>
    </row>
    <row r="18" spans="1:24">
      <c r="A18" s="257" t="s">
        <v>29</v>
      </c>
      <c r="B18" s="262" t="str">
        <f>'6-x'!AK18</f>
        <v/>
      </c>
      <c r="C18" s="262">
        <f>'6-x'!AL18</f>
        <v>0.3995560488346282</v>
      </c>
      <c r="D18" s="262">
        <f>'6-x'!AM18</f>
        <v>0.3944340966363537</v>
      </c>
      <c r="E18" s="262">
        <f>'6-x'!AN18</f>
        <v>0.52716356714013768</v>
      </c>
      <c r="F18" s="262">
        <f>'6-x'!AO18</f>
        <v>0.29175784099197666</v>
      </c>
      <c r="G18" s="262">
        <f>'6-x'!AP18</f>
        <v>0.32858707557502742</v>
      </c>
      <c r="H18" s="306">
        <f>'6-x'!AQ18</f>
        <v>0.31873385864248593</v>
      </c>
      <c r="I18" s="56"/>
      <c r="J18" s="262" t="str">
        <f>'6-x'!AK34</f>
        <v/>
      </c>
      <c r="K18" s="262">
        <f>'6-x'!AL34</f>
        <v>0.49643956023841629</v>
      </c>
      <c r="L18" s="262">
        <f>'6-x'!AM34</f>
        <v>0.46779674898755175</v>
      </c>
      <c r="M18" s="262">
        <f>'6-x'!AN34</f>
        <v>0.80626560229342847</v>
      </c>
      <c r="N18" s="262">
        <f>'6-x'!AO34</f>
        <v>0.41718777160939491</v>
      </c>
      <c r="O18" s="262">
        <f>'6-x'!AP34</f>
        <v>0.4514187446541702</v>
      </c>
      <c r="P18" s="306">
        <f>'6-x'!AQ34</f>
        <v>0.45354771914976677</v>
      </c>
      <c r="R18" s="262" t="str">
        <f>'6-x'!AA70</f>
        <v/>
      </c>
      <c r="S18" s="262">
        <f>'6-x'!AB70</f>
        <v>0.99147832530566893</v>
      </c>
      <c r="T18" s="262">
        <f>'6-x'!AC70</f>
        <v>1</v>
      </c>
      <c r="U18" s="262">
        <f>'6-x'!AD70</f>
        <v>0.92532795156407666</v>
      </c>
      <c r="V18" s="262">
        <f>'6-x'!AE70</f>
        <v>0.83783204142283763</v>
      </c>
      <c r="W18" s="262">
        <f>'6-x'!AF70</f>
        <v>0.74999999999999989</v>
      </c>
      <c r="X18" s="306">
        <f>'6-x'!AG70</f>
        <v>0.87661750811321537</v>
      </c>
    </row>
    <row r="19" spans="1:24">
      <c r="A19" s="257" t="s">
        <v>391</v>
      </c>
      <c r="B19" s="262" t="str">
        <f>'6-x'!AK19</f>
        <v/>
      </c>
      <c r="C19" s="262">
        <f>'6-x'!AL19</f>
        <v>0.5638214565387627</v>
      </c>
      <c r="D19" s="262" t="str">
        <f>'6-x'!AM19</f>
        <v/>
      </c>
      <c r="E19" s="262" t="str">
        <f>'6-x'!AN19</f>
        <v/>
      </c>
      <c r="F19" s="262" t="str">
        <f>'6-x'!AO19</f>
        <v/>
      </c>
      <c r="G19" s="262" t="str">
        <f>'6-x'!AP19</f>
        <v/>
      </c>
      <c r="H19" s="306">
        <f>'6-x'!AQ19</f>
        <v>0.5638214565387627</v>
      </c>
      <c r="I19" s="56"/>
      <c r="J19" s="262" t="str">
        <f>'6-x'!AK35</f>
        <v/>
      </c>
      <c r="K19" s="262" t="str">
        <f>'6-x'!AL35</f>
        <v/>
      </c>
      <c r="L19" s="262" t="str">
        <f>'6-x'!AM35</f>
        <v/>
      </c>
      <c r="M19" s="262" t="str">
        <f>'6-x'!AN35</f>
        <v/>
      </c>
      <c r="N19" s="262" t="str">
        <f>'6-x'!AO35</f>
        <v/>
      </c>
      <c r="O19" s="262" t="str">
        <f>'6-x'!AP35</f>
        <v/>
      </c>
      <c r="P19" s="306" t="str">
        <f>'6-x'!AQ35</f>
        <v/>
      </c>
      <c r="R19" s="262" t="str">
        <f>'6-x'!AA71</f>
        <v/>
      </c>
      <c r="S19" s="262" t="str">
        <f>'6-x'!AB71</f>
        <v/>
      </c>
      <c r="T19" s="262" t="str">
        <f>'6-x'!AC71</f>
        <v/>
      </c>
      <c r="U19" s="262" t="str">
        <f>'6-x'!AD71</f>
        <v/>
      </c>
      <c r="V19" s="262" t="str">
        <f>'6-x'!AE71</f>
        <v/>
      </c>
      <c r="W19" s="262">
        <f>'6-x'!AF71</f>
        <v>0</v>
      </c>
      <c r="X19" s="306" t="str">
        <f>'6-x'!AG71</f>
        <v/>
      </c>
    </row>
    <row r="20" spans="1:24">
      <c r="A20" s="368" t="s">
        <v>10</v>
      </c>
      <c r="B20" s="369">
        <f>'6-x'!AK20</f>
        <v>0.36659877800407331</v>
      </c>
      <c r="C20" s="369">
        <f>'6-x'!AL20</f>
        <v>0.57315997174005562</v>
      </c>
      <c r="D20" s="369">
        <f>'6-x'!AM20</f>
        <v>0.42858017436521456</v>
      </c>
      <c r="E20" s="369">
        <f>'6-x'!AN20</f>
        <v>0.45128362715500031</v>
      </c>
      <c r="F20" s="369">
        <f>'6-x'!AO20</f>
        <v>0.37957541509161646</v>
      </c>
      <c r="G20" s="369">
        <f>'6-x'!AP20</f>
        <v>0.44156185221808164</v>
      </c>
      <c r="H20" s="369">
        <f>'6-x'!AQ20</f>
        <v>0.51026252685876294</v>
      </c>
      <c r="I20" s="56"/>
      <c r="J20" s="369">
        <f>'6-x'!AK36</f>
        <v>0.36659877800407331</v>
      </c>
      <c r="K20" s="369">
        <f>'6-x'!AL36</f>
        <v>0.62251928206178808</v>
      </c>
      <c r="L20" s="369">
        <f>'6-x'!AM36</f>
        <v>0.51337940751038191</v>
      </c>
      <c r="M20" s="369">
        <f>'6-x'!AN36</f>
        <v>0.63444198433075072</v>
      </c>
      <c r="N20" s="369">
        <f>'6-x'!AO36</f>
        <v>0.46167146992266483</v>
      </c>
      <c r="O20" s="369">
        <f>'6-x'!AP36</f>
        <v>0.51738183795319848</v>
      </c>
      <c r="P20" s="369">
        <f>'6-x'!AQ36</f>
        <v>0.56765419752944146</v>
      </c>
    </row>
    <row r="21" spans="1:24" ht="15.6">
      <c r="A21" s="47"/>
    </row>
    <row r="22" spans="1:24" ht="15.6">
      <c r="A22" s="47"/>
    </row>
    <row r="23" spans="1:24">
      <c r="B23" s="895" t="s">
        <v>11</v>
      </c>
      <c r="C23" s="895"/>
      <c r="D23" s="895"/>
      <c r="E23" s="895"/>
      <c r="F23" s="895"/>
      <c r="G23" s="895"/>
      <c r="H23" s="895"/>
      <c r="J23" s="895" t="s">
        <v>11</v>
      </c>
      <c r="K23" s="895"/>
      <c r="L23" s="895"/>
      <c r="M23" s="895"/>
      <c r="N23" s="895"/>
      <c r="O23" s="895"/>
      <c r="P23" s="895"/>
      <c r="R23" s="895" t="s">
        <v>11</v>
      </c>
      <c r="S23" s="895"/>
      <c r="T23" s="895"/>
      <c r="U23" s="895"/>
      <c r="V23" s="895"/>
      <c r="W23" s="895"/>
      <c r="X23" s="895"/>
    </row>
    <row r="24" spans="1:24" ht="28.8">
      <c r="B24" s="281" t="s">
        <v>5</v>
      </c>
      <c r="C24" s="281" t="s">
        <v>64</v>
      </c>
      <c r="D24" s="281" t="s">
        <v>7</v>
      </c>
      <c r="E24" s="281" t="s">
        <v>8</v>
      </c>
      <c r="F24" s="281" t="s">
        <v>267</v>
      </c>
      <c r="G24" s="281" t="s">
        <v>268</v>
      </c>
      <c r="H24" s="281" t="s">
        <v>10</v>
      </c>
      <c r="J24" s="281" t="s">
        <v>5</v>
      </c>
      <c r="K24" s="281" t="s">
        <v>64</v>
      </c>
      <c r="L24" s="281" t="s">
        <v>7</v>
      </c>
      <c r="M24" s="281" t="s">
        <v>8</v>
      </c>
      <c r="N24" s="281" t="s">
        <v>267</v>
      </c>
      <c r="O24" s="281" t="s">
        <v>268</v>
      </c>
      <c r="P24" s="281" t="s">
        <v>10</v>
      </c>
      <c r="R24" s="281" t="s">
        <v>5</v>
      </c>
      <c r="S24" s="281" t="s">
        <v>64</v>
      </c>
      <c r="T24" s="281" t="s">
        <v>7</v>
      </c>
      <c r="U24" s="281" t="s">
        <v>8</v>
      </c>
      <c r="V24" s="281" t="s">
        <v>267</v>
      </c>
      <c r="W24" s="281" t="s">
        <v>268</v>
      </c>
      <c r="X24" s="281" t="s">
        <v>10</v>
      </c>
    </row>
    <row r="25" spans="1:24">
      <c r="A25" s="283">
        <v>2022</v>
      </c>
      <c r="B25" s="896" t="s">
        <v>383</v>
      </c>
      <c r="C25" s="897"/>
      <c r="D25" s="897"/>
      <c r="E25" s="897"/>
      <c r="F25" s="897"/>
      <c r="G25" s="897"/>
      <c r="H25" s="898"/>
      <c r="J25" s="896" t="s">
        <v>382</v>
      </c>
      <c r="K25" s="897"/>
      <c r="L25" s="897"/>
      <c r="M25" s="897"/>
      <c r="N25" s="897"/>
      <c r="O25" s="897"/>
      <c r="P25" s="898"/>
      <c r="R25" s="896" t="s">
        <v>475</v>
      </c>
      <c r="S25" s="897"/>
      <c r="T25" s="897"/>
      <c r="U25" s="897"/>
      <c r="V25" s="897"/>
      <c r="W25" s="897"/>
      <c r="X25" s="898"/>
    </row>
    <row r="26" spans="1:24">
      <c r="A26" s="258" t="s">
        <v>286</v>
      </c>
      <c r="B26" s="306">
        <f>'6-x'!AK98</f>
        <v>0.36000000000000004</v>
      </c>
      <c r="C26" s="306">
        <f>'6-x'!AL98</f>
        <v>0.54396173098980605</v>
      </c>
      <c r="D26" s="306">
        <f>'6-x'!AM98</f>
        <v>0.40192028580998096</v>
      </c>
      <c r="E26" s="306">
        <f>'6-x'!AN98</f>
        <v>0.36583981788226738</v>
      </c>
      <c r="F26" s="306">
        <f>'6-x'!AO98</f>
        <v>0.31431716068592586</v>
      </c>
      <c r="G26" s="306">
        <f>'6-x'!AP98</f>
        <v>0.36240401395470223</v>
      </c>
      <c r="H26" s="306">
        <f>'6-x'!AQ98</f>
        <v>0.45144484593248257</v>
      </c>
      <c r="I26" s="56"/>
    </row>
    <row r="27" spans="1:24">
      <c r="A27" s="257" t="s">
        <v>18</v>
      </c>
      <c r="B27" s="262" t="str">
        <f>'6-x'!AK99</f>
        <v/>
      </c>
      <c r="C27" s="262">
        <f>'6-x'!AL99</f>
        <v>0.3712488398473755</v>
      </c>
      <c r="D27" s="262">
        <f>'6-x'!AM99</f>
        <v>0.40192028580998096</v>
      </c>
      <c r="E27" s="262">
        <f>'6-x'!AN99</f>
        <v>0.37962670041126223</v>
      </c>
      <c r="F27" s="262">
        <f>'6-x'!AO99</f>
        <v>0.410490307867731</v>
      </c>
      <c r="G27" s="262">
        <f>'6-x'!AP99</f>
        <v>0.36272040302267</v>
      </c>
      <c r="H27" s="306">
        <f>'6-x'!AQ99</f>
        <v>0.37560239618670854</v>
      </c>
      <c r="I27" s="56"/>
    </row>
    <row r="28" spans="1:24">
      <c r="A28" s="257" t="s">
        <v>19</v>
      </c>
      <c r="B28" s="262" t="str">
        <f>'6-x'!AK100</f>
        <v/>
      </c>
      <c r="C28" s="262">
        <f>'6-x'!AL100</f>
        <v>0.3331790837575197</v>
      </c>
      <c r="D28" s="262" t="str">
        <f>'6-x'!AM100</f>
        <v/>
      </c>
      <c r="E28" s="262">
        <f>'6-x'!AN100</f>
        <v>0.23608105449537675</v>
      </c>
      <c r="F28" s="262">
        <f>'6-x'!AO100</f>
        <v>0.26552588877415545</v>
      </c>
      <c r="G28" s="262">
        <f>'6-x'!AP100</f>
        <v>0.33091276771762113</v>
      </c>
      <c r="H28" s="306">
        <f>'6-x'!AQ100</f>
        <v>0.32464810913467274</v>
      </c>
      <c r="I28" s="56"/>
    </row>
    <row r="29" spans="1:24">
      <c r="A29" s="257" t="s">
        <v>20</v>
      </c>
      <c r="B29" s="262">
        <f>'6-x'!AK101</f>
        <v>0.36000000000000004</v>
      </c>
      <c r="C29" s="262">
        <f>'6-x'!AL101</f>
        <v>0.61120543293718177</v>
      </c>
      <c r="D29" s="262" t="str">
        <f>'6-x'!AM101</f>
        <v/>
      </c>
      <c r="E29" s="262">
        <f>'6-x'!AN101</f>
        <v>0.36525974025974028</v>
      </c>
      <c r="F29" s="262">
        <f>'6-x'!AO101</f>
        <v>0.26589851539995568</v>
      </c>
      <c r="G29" s="262">
        <f>'6-x'!AP101</f>
        <v>0.3964757709251101</v>
      </c>
      <c r="H29" s="306">
        <f>'6-x'!AQ101</f>
        <v>0.35929300484879523</v>
      </c>
      <c r="I29" s="56"/>
    </row>
    <row r="30" spans="1:24">
      <c r="A30" s="257" t="s">
        <v>21</v>
      </c>
      <c r="B30" s="262" t="str">
        <f>'6-x'!AK102</f>
        <v/>
      </c>
      <c r="C30" s="262">
        <f>'6-x'!AL102</f>
        <v>0.54216867469879526</v>
      </c>
      <c r="D30" s="262" t="str">
        <f>'6-x'!AM102</f>
        <v/>
      </c>
      <c r="E30" s="262">
        <f>'6-x'!AN102</f>
        <v>0.43300457060380082</v>
      </c>
      <c r="F30" s="262">
        <f>'6-x'!AO102</f>
        <v>0.46547711404189296</v>
      </c>
      <c r="G30" s="262">
        <f>'6-x'!AP102</f>
        <v>0.39991113085980889</v>
      </c>
      <c r="H30" s="306">
        <f>'6-x'!AQ102</f>
        <v>0.53954958274729758</v>
      </c>
      <c r="I30" s="56"/>
    </row>
    <row r="31" spans="1:24">
      <c r="A31" s="257" t="s">
        <v>23</v>
      </c>
      <c r="B31" s="262" t="str">
        <f>'6-x'!AK103</f>
        <v/>
      </c>
      <c r="C31" s="262" t="str">
        <f>'6-x'!AL103</f>
        <v/>
      </c>
      <c r="D31" s="262" t="str">
        <f>'6-x'!AM103</f>
        <v/>
      </c>
      <c r="E31" s="262" t="str">
        <f>'6-x'!AN103</f>
        <v/>
      </c>
      <c r="F31" s="262" t="str">
        <f>'6-x'!AO103</f>
        <v/>
      </c>
      <c r="G31" s="262" t="str">
        <f>'6-x'!AP103</f>
        <v/>
      </c>
      <c r="H31" s="306" t="str">
        <f>'6-x'!AQ103</f>
        <v/>
      </c>
      <c r="I31" s="56"/>
    </row>
    <row r="32" spans="1:24">
      <c r="A32" s="257" t="s">
        <v>388</v>
      </c>
      <c r="B32" s="262" t="str">
        <f>'6-x'!AK104</f>
        <v/>
      </c>
      <c r="C32" s="262" t="str">
        <f>'6-x'!AL104</f>
        <v/>
      </c>
      <c r="D32" s="262" t="str">
        <f>'6-x'!AM104</f>
        <v/>
      </c>
      <c r="E32" s="262" t="str">
        <f>'6-x'!AN104</f>
        <v/>
      </c>
      <c r="F32" s="262" t="str">
        <f>'6-x'!AO104</f>
        <v/>
      </c>
      <c r="G32" s="262" t="str">
        <f>'6-x'!AP104</f>
        <v/>
      </c>
      <c r="H32" s="306" t="str">
        <f>'6-x'!AQ104</f>
        <v/>
      </c>
      <c r="I32" s="56"/>
    </row>
    <row r="33" spans="1:24">
      <c r="A33" s="258" t="s">
        <v>287</v>
      </c>
      <c r="B33" s="306" t="str">
        <f>'6-x'!AK105</f>
        <v/>
      </c>
      <c r="C33" s="306">
        <f>'6-x'!AL105</f>
        <v>0.59706010497540918</v>
      </c>
      <c r="D33" s="306">
        <f>'6-x'!AM105</f>
        <v>0.39938899580536563</v>
      </c>
      <c r="E33" s="306">
        <f>'6-x'!AN105</f>
        <v>0.58989515986990326</v>
      </c>
      <c r="F33" s="306">
        <f>'6-x'!AO105</f>
        <v>0.44953972177837098</v>
      </c>
      <c r="G33" s="306">
        <f>'6-x'!AP105</f>
        <v>0.48518258187894681</v>
      </c>
      <c r="H33" s="306">
        <f>'6-x'!AQ105</f>
        <v>0.56283429930594187</v>
      </c>
      <c r="I33" s="56"/>
      <c r="J33" s="306" t="str">
        <f>'6-x'!AK121</f>
        <v/>
      </c>
      <c r="K33" s="306">
        <f>'6-x'!AL121</f>
        <v>0.6656452959782182</v>
      </c>
      <c r="L33" s="306">
        <f>'6-x'!AM121</f>
        <v>0.46914252887330665</v>
      </c>
      <c r="M33" s="306">
        <f>'6-x'!AN121</f>
        <v>0.77966794953803842</v>
      </c>
      <c r="N33" s="306">
        <f>'6-x'!AO121</f>
        <v>0.56672791983001525</v>
      </c>
      <c r="O33" s="306">
        <f>'6-x'!AP121</f>
        <v>0.58618759858091296</v>
      </c>
      <c r="P33" s="306">
        <f>'6-x'!AQ121</f>
        <v>0.64570310431363953</v>
      </c>
      <c r="R33" s="306" t="str">
        <f>'6-x'!AA157</f>
        <v/>
      </c>
      <c r="S33" s="306">
        <f>'6-x'!AB157</f>
        <v>0.8884872709251338</v>
      </c>
      <c r="T33" s="306">
        <f>'6-x'!AC157</f>
        <v>0.81813498196805767</v>
      </c>
      <c r="U33" s="306">
        <f>'6-x'!AD157</f>
        <v>0.89024779325747105</v>
      </c>
      <c r="V33" s="306">
        <f>'6-x'!AE157</f>
        <v>0.61527878854340079</v>
      </c>
      <c r="W33" s="306">
        <f>'6-x'!AF157</f>
        <v>0.45451510092578545</v>
      </c>
      <c r="X33" s="306">
        <f>'6-x'!AG157</f>
        <v>0.81436065006854608</v>
      </c>
    </row>
    <row r="34" spans="1:24">
      <c r="A34" s="257" t="s">
        <v>25</v>
      </c>
      <c r="B34" s="262" t="str">
        <f>'6-x'!AK106</f>
        <v/>
      </c>
      <c r="C34" s="262">
        <f>'6-x'!AL106</f>
        <v>0.63841106579180695</v>
      </c>
      <c r="D34" s="262">
        <f>'6-x'!AM106</f>
        <v>0.48767271742075319</v>
      </c>
      <c r="E34" s="262">
        <f>'6-x'!AN106</f>
        <v>0.60010001666944501</v>
      </c>
      <c r="F34" s="262">
        <f>'6-x'!AO106</f>
        <v>0.46088849059019338</v>
      </c>
      <c r="G34" s="262">
        <f>'6-x'!AP106</f>
        <v>0.48537144398004589</v>
      </c>
      <c r="H34" s="306">
        <f>'6-x'!AQ106</f>
        <v>0.57315467966133626</v>
      </c>
      <c r="I34" s="56"/>
      <c r="J34" s="262" t="str">
        <f>'6-x'!AK122</f>
        <v/>
      </c>
      <c r="K34" s="262">
        <f>'6-x'!AL122</f>
        <v>0.72767483728382854</v>
      </c>
      <c r="L34" s="262">
        <f>'6-x'!AM122</f>
        <v>0.58289177736779363</v>
      </c>
      <c r="M34" s="262">
        <f>'6-x'!AN122</f>
        <v>0.76239610211252495</v>
      </c>
      <c r="N34" s="262">
        <f>'6-x'!AO122</f>
        <v>0.66825946020275695</v>
      </c>
      <c r="O34" s="262">
        <f>'6-x'!AP122</f>
        <v>0.58630901397666046</v>
      </c>
      <c r="P34" s="306">
        <f>'6-x'!AQ122</f>
        <v>0.67812818107167072</v>
      </c>
      <c r="R34" s="262" t="str">
        <f>'6-x'!AA158</f>
        <v/>
      </c>
      <c r="S34" s="262">
        <f>'6-x'!AB158</f>
        <v>0.93260714762561747</v>
      </c>
      <c r="T34" s="262">
        <f>'6-x'!AC158</f>
        <v>1</v>
      </c>
      <c r="U34" s="262">
        <f>'6-x'!AD158</f>
        <v>0.49696969696969695</v>
      </c>
      <c r="V34" s="262">
        <f>'6-x'!AE158</f>
        <v>0.48419744318181823</v>
      </c>
      <c r="W34" s="262">
        <f>'6-x'!AF158</f>
        <v>0.45304188321614186</v>
      </c>
      <c r="X34" s="306">
        <f>'6-x'!AG158</f>
        <v>0.76697550631199918</v>
      </c>
    </row>
    <row r="35" spans="1:24">
      <c r="A35" s="257" t="s">
        <v>26</v>
      </c>
      <c r="B35" s="262" t="str">
        <f>'6-x'!AK107</f>
        <v/>
      </c>
      <c r="C35" s="262">
        <f>'6-x'!AL107</f>
        <v>0.66889632107023422</v>
      </c>
      <c r="D35" s="262" t="str">
        <f>'6-x'!AM107</f>
        <v/>
      </c>
      <c r="E35" s="262">
        <f>'6-x'!AN107</f>
        <v>0.69390902081727068</v>
      </c>
      <c r="F35" s="262">
        <f>'6-x'!AO107</f>
        <v>0.36072144288577157</v>
      </c>
      <c r="G35" s="262">
        <f>'6-x'!AP107</f>
        <v>0.57646116893514809</v>
      </c>
      <c r="H35" s="306">
        <f>'6-x'!AQ107</f>
        <v>0.66894945924335514</v>
      </c>
      <c r="I35" s="56"/>
      <c r="J35" s="262" t="str">
        <f>'6-x'!AK123</f>
        <v/>
      </c>
      <c r="K35" s="262">
        <f>'6-x'!AL123</f>
        <v>0.78701966893425324</v>
      </c>
      <c r="L35" s="262" t="str">
        <f>'6-x'!AM123</f>
        <v/>
      </c>
      <c r="M35" s="262">
        <f>'6-x'!AN123</f>
        <v>0.81723150033940517</v>
      </c>
      <c r="N35" s="262">
        <f>'6-x'!AO123</f>
        <v>0.64231173439725142</v>
      </c>
      <c r="O35" s="262">
        <f>'6-x'!AP123</f>
        <v>0.7416165090988821</v>
      </c>
      <c r="P35" s="306">
        <f>'6-x'!AQ123</f>
        <v>0.78858584806473442</v>
      </c>
      <c r="R35" s="262" t="str">
        <f>'6-x'!AA159</f>
        <v/>
      </c>
      <c r="S35" s="262">
        <f>'6-x'!AB159</f>
        <v>0.96358502120710399</v>
      </c>
      <c r="T35" s="262" t="str">
        <f>'6-x'!AC159</f>
        <v/>
      </c>
      <c r="U35" s="262">
        <f>'6-x'!AD159</f>
        <v>0.61706201467928945</v>
      </c>
      <c r="V35" s="262">
        <f>'6-x'!AE159</f>
        <v>0.44199706314243764</v>
      </c>
      <c r="W35" s="262">
        <f>'6-x'!AF159</f>
        <v>0.95</v>
      </c>
      <c r="X35" s="306">
        <f>'6-x'!AG159</f>
        <v>0.92682604272634794</v>
      </c>
    </row>
    <row r="36" spans="1:24">
      <c r="A36" s="257" t="s">
        <v>27</v>
      </c>
      <c r="B36" s="262" t="str">
        <f>'6-x'!AK108</f>
        <v/>
      </c>
      <c r="C36" s="262">
        <f>'6-x'!AL108</f>
        <v>0.58708414872798442</v>
      </c>
      <c r="D36" s="262">
        <f>'6-x'!AM108</f>
        <v>0.41972717733473242</v>
      </c>
      <c r="E36" s="262">
        <f>'6-x'!AN108</f>
        <v>0.55113288426209439</v>
      </c>
      <c r="F36" s="262">
        <f>'6-x'!AO108</f>
        <v>0.60718502276943831</v>
      </c>
      <c r="G36" s="262">
        <f>'6-x'!AP108</f>
        <v>0.46379799020870915</v>
      </c>
      <c r="H36" s="306">
        <f>'6-x'!AQ108</f>
        <v>0.58611137270854163</v>
      </c>
      <c r="I36" s="56"/>
      <c r="J36" s="262" t="str">
        <f>'6-x'!AK124</f>
        <v/>
      </c>
      <c r="K36" s="262">
        <f>'6-x'!AL124</f>
        <v>0.63312243125737921</v>
      </c>
      <c r="L36" s="262">
        <f>'6-x'!AM124</f>
        <v>0.51595632697540028</v>
      </c>
      <c r="M36" s="262">
        <f>'6-x'!AN124</f>
        <v>0.74704567137787847</v>
      </c>
      <c r="N36" s="262">
        <f>'6-x'!AO124</f>
        <v>0.66237053733998463</v>
      </c>
      <c r="O36" s="262">
        <f>'6-x'!AP124</f>
        <v>0.55144740616308163</v>
      </c>
      <c r="P36" s="306">
        <f>'6-x'!AQ124</f>
        <v>0.63893771636200569</v>
      </c>
      <c r="R36" s="262" t="str">
        <f>'6-x'!AA160</f>
        <v/>
      </c>
      <c r="S36" s="262">
        <f>'6-x'!AB160</f>
        <v>0.82185738502055872</v>
      </c>
      <c r="T36" s="262">
        <f>'6-x'!AC160</f>
        <v>0.82847013907826572</v>
      </c>
      <c r="U36" s="262">
        <f>'6-x'!AD160</f>
        <v>0.93035103635982963</v>
      </c>
      <c r="V36" s="262">
        <f>'6-x'!AE160</f>
        <v>0.56168508536842421</v>
      </c>
      <c r="W36" s="262">
        <f>'6-x'!AF160</f>
        <v>0.66878980891719753</v>
      </c>
      <c r="X36" s="306">
        <f>'6-x'!AG160</f>
        <v>0.79844015954068526</v>
      </c>
    </row>
    <row r="37" spans="1:24">
      <c r="A37" s="257" t="s">
        <v>28</v>
      </c>
      <c r="B37" s="262" t="str">
        <f>'6-x'!AK109</f>
        <v/>
      </c>
      <c r="C37" s="262">
        <f>'6-x'!AL109</f>
        <v>0.76013513513513531</v>
      </c>
      <c r="D37" s="262" t="str">
        <f>'6-x'!AM109</f>
        <v/>
      </c>
      <c r="E37" s="262">
        <f>'6-x'!AN109</f>
        <v>0.71216617210682509</v>
      </c>
      <c r="F37" s="262">
        <f>'6-x'!AO109</f>
        <v>0.6321334503950834</v>
      </c>
      <c r="G37" s="262" t="str">
        <f>'6-x'!AP109</f>
        <v/>
      </c>
      <c r="H37" s="306">
        <f>'6-x'!AQ109</f>
        <v>0.68270253504997991</v>
      </c>
      <c r="I37" s="56"/>
      <c r="J37" s="262" t="str">
        <f>'6-x'!AK125</f>
        <v/>
      </c>
      <c r="K37" s="262">
        <f>'6-x'!AL125</f>
        <v>0.8681964548976232</v>
      </c>
      <c r="L37" s="262" t="str">
        <f>'6-x'!AM125</f>
        <v/>
      </c>
      <c r="M37" s="262">
        <f>'6-x'!AN125</f>
        <v>0.83527822146556907</v>
      </c>
      <c r="N37" s="262">
        <f>'6-x'!AO125</f>
        <v>0.77974211278400252</v>
      </c>
      <c r="O37" s="262" t="str">
        <f>'6-x'!AP125</f>
        <v/>
      </c>
      <c r="P37" s="306">
        <f>'6-x'!AQ125</f>
        <v>0.8251296266574093</v>
      </c>
      <c r="R37" s="262" t="str">
        <f>'6-x'!AA161</f>
        <v/>
      </c>
      <c r="S37" s="262">
        <f>'6-x'!AB161</f>
        <v>0.94819006067216582</v>
      </c>
      <c r="T37" s="262" t="str">
        <f>'6-x'!AC161</f>
        <v/>
      </c>
      <c r="U37" s="262">
        <f>'6-x'!AD161</f>
        <v>0.99727255016559524</v>
      </c>
      <c r="V37" s="262">
        <f>'6-x'!AE161</f>
        <v>0.83521611001964635</v>
      </c>
      <c r="W37" s="262" t="str">
        <f>'6-x'!AF161</f>
        <v/>
      </c>
      <c r="X37" s="306">
        <f>'6-x'!AG161</f>
        <v>0.92460499044440259</v>
      </c>
    </row>
    <row r="38" spans="1:24">
      <c r="A38" s="257" t="s">
        <v>29</v>
      </c>
      <c r="B38" s="262" t="str">
        <f>'6-x'!AK110</f>
        <v/>
      </c>
      <c r="C38" s="262">
        <f>'6-x'!AL110</f>
        <v>0.40636640704368437</v>
      </c>
      <c r="D38" s="262">
        <f>'6-x'!AM110</f>
        <v>0.3692307692307692</v>
      </c>
      <c r="E38" s="262">
        <f>'6-x'!AN110</f>
        <v>0.56737588652482263</v>
      </c>
      <c r="F38" s="262">
        <f>'6-x'!AO110</f>
        <v>0.29356601157954826</v>
      </c>
      <c r="G38" s="262">
        <f>'6-x'!AP110</f>
        <v>0.31897926634768742</v>
      </c>
      <c r="H38" s="306">
        <f>'6-x'!AQ110</f>
        <v>0.32093163977101224</v>
      </c>
      <c r="I38" s="56"/>
      <c r="J38" s="262" t="str">
        <f>'6-x'!AK126</f>
        <v/>
      </c>
      <c r="K38" s="262">
        <f>'6-x'!AL126</f>
        <v>0.54097783649429465</v>
      </c>
      <c r="L38" s="262">
        <f>'6-x'!AM126</f>
        <v>0.40369779136780398</v>
      </c>
      <c r="M38" s="262">
        <f>'6-x'!AN126</f>
        <v>0.81315831911175551</v>
      </c>
      <c r="N38" s="262">
        <f>'6-x'!AO126</f>
        <v>0.42954254144095039</v>
      </c>
      <c r="O38" s="262">
        <f>'6-x'!AP126</f>
        <v>0.5636763161004299</v>
      </c>
      <c r="P38" s="306">
        <f>'6-x'!AQ126</f>
        <v>0.46046163893273462</v>
      </c>
      <c r="R38" s="262" t="str">
        <f>'6-x'!AA162</f>
        <v/>
      </c>
      <c r="S38" s="262">
        <f>'6-x'!AB162</f>
        <v>0.87586805555555547</v>
      </c>
      <c r="T38" s="262">
        <f>'6-x'!AC162</f>
        <v>0.6632732967893501</v>
      </c>
      <c r="U38" s="262">
        <f>'6-x'!AD162</f>
        <v>0.93882441977800202</v>
      </c>
      <c r="V38" s="262">
        <f>'6-x'!AE162</f>
        <v>0.653496662824671</v>
      </c>
      <c r="W38" s="262">
        <f>'6-x'!AF162</f>
        <v>0.31578947368421051</v>
      </c>
      <c r="X38" s="306">
        <f>'6-x'!AG162</f>
        <v>0.72774380195554245</v>
      </c>
    </row>
    <row r="39" spans="1:24">
      <c r="A39" s="257" t="s">
        <v>391</v>
      </c>
      <c r="B39" s="262" t="str">
        <f>'6-x'!AK111</f>
        <v/>
      </c>
      <c r="C39" s="262">
        <f>'6-x'!AL111</f>
        <v>0.50153246029534693</v>
      </c>
      <c r="D39" s="262" t="str">
        <f>'6-x'!AM111</f>
        <v/>
      </c>
      <c r="E39" s="262" t="str">
        <f>'6-x'!AN111</f>
        <v/>
      </c>
      <c r="F39" s="262" t="str">
        <f>'6-x'!AO111</f>
        <v/>
      </c>
      <c r="G39" s="262" t="str">
        <f>'6-x'!AP111</f>
        <v/>
      </c>
      <c r="H39" s="306">
        <f>'6-x'!AQ111</f>
        <v>0.55168570632488168</v>
      </c>
      <c r="I39" s="56"/>
      <c r="J39" s="262" t="str">
        <f>'6-x'!AK127</f>
        <v/>
      </c>
      <c r="K39" s="262">
        <f>'6-x'!AL127</f>
        <v>0.34393809117179708</v>
      </c>
      <c r="L39" s="262" t="str">
        <f>'6-x'!AM127</f>
        <v/>
      </c>
      <c r="M39" s="262" t="str">
        <f>'6-x'!AN127</f>
        <v/>
      </c>
      <c r="N39" s="262" t="str">
        <f>'6-x'!AO127</f>
        <v/>
      </c>
      <c r="O39" s="262" t="str">
        <f>'6-x'!AP127</f>
        <v/>
      </c>
      <c r="P39" s="306">
        <f>'6-x'!AQ127</f>
        <v>0.36113499572897678</v>
      </c>
      <c r="R39" s="262" t="str">
        <f>'6-x'!AA163</f>
        <v/>
      </c>
      <c r="S39" s="262">
        <f>'6-x'!AB163</f>
        <v>0</v>
      </c>
      <c r="T39" s="262" t="str">
        <f>'6-x'!AC163</f>
        <v/>
      </c>
      <c r="U39" s="262" t="str">
        <f>'6-x'!AD163</f>
        <v/>
      </c>
      <c r="V39" s="262" t="str">
        <f>'6-x'!AE163</f>
        <v/>
      </c>
      <c r="W39" s="262">
        <f>'6-x'!AF163</f>
        <v>0</v>
      </c>
      <c r="X39" s="306">
        <f>'6-x'!AG163</f>
        <v>0</v>
      </c>
    </row>
    <row r="40" spans="1:24">
      <c r="A40" s="368" t="s">
        <v>10</v>
      </c>
      <c r="B40" s="369">
        <f>'6-x'!AK112</f>
        <v>0.36000031848965136</v>
      </c>
      <c r="C40" s="369">
        <f>'6-x'!AL112</f>
        <v>0.57389550076530338</v>
      </c>
      <c r="D40" s="369">
        <f>'6-x'!AM112</f>
        <v>0.39941642396535659</v>
      </c>
      <c r="E40" s="369">
        <f>'6-x'!AN112</f>
        <v>0.44074750190526901</v>
      </c>
      <c r="F40" s="369">
        <f>'6-x'!AO112</f>
        <v>0.39220138871906757</v>
      </c>
      <c r="G40" s="369">
        <f>'6-x'!AP112</f>
        <v>0.43941896081648973</v>
      </c>
      <c r="H40" s="369">
        <f>'6-x'!AQ112</f>
        <v>0.50447485612828402</v>
      </c>
      <c r="I40" s="56"/>
      <c r="J40" s="369">
        <f>'6-x'!AK128</f>
        <v>0.36000031848965131</v>
      </c>
      <c r="K40" s="369">
        <f>'6-x'!AL128</f>
        <v>0.62020404239641014</v>
      </c>
      <c r="L40" s="369">
        <f>'6-x'!AM128</f>
        <v>0.46851463307140856</v>
      </c>
      <c r="M40" s="369">
        <f>'6-x'!AN128</f>
        <v>0.60336793564925095</v>
      </c>
      <c r="N40" s="369">
        <f>'6-x'!AO128</f>
        <v>0.4795494433048974</v>
      </c>
      <c r="O40" s="369">
        <f>'6-x'!AP128</f>
        <v>0.51698626536242032</v>
      </c>
      <c r="P40" s="369">
        <f>'6-x'!AQ128</f>
        <v>0.55811295233197455</v>
      </c>
    </row>
    <row r="41" spans="1:24" ht="15.6">
      <c r="A41" s="47"/>
    </row>
    <row r="42" spans="1:24" ht="15.6">
      <c r="A42" s="47"/>
    </row>
    <row r="43" spans="1:24">
      <c r="B43" s="895" t="s">
        <v>11</v>
      </c>
      <c r="C43" s="895"/>
      <c r="D43" s="895"/>
      <c r="E43" s="895"/>
      <c r="F43" s="895"/>
      <c r="G43" s="895"/>
      <c r="H43" s="895"/>
      <c r="J43" s="895" t="s">
        <v>11</v>
      </c>
      <c r="K43" s="895"/>
      <c r="L43" s="895"/>
      <c r="M43" s="895"/>
      <c r="N43" s="895"/>
      <c r="O43" s="895"/>
      <c r="P43" s="895"/>
      <c r="R43" s="895" t="s">
        <v>11</v>
      </c>
      <c r="S43" s="895"/>
      <c r="T43" s="895"/>
      <c r="U43" s="895"/>
      <c r="V43" s="895"/>
      <c r="W43" s="895"/>
      <c r="X43" s="895"/>
    </row>
    <row r="44" spans="1:24" ht="28.8">
      <c r="B44" s="281" t="s">
        <v>5</v>
      </c>
      <c r="C44" s="281" t="s">
        <v>64</v>
      </c>
      <c r="D44" s="281" t="s">
        <v>7</v>
      </c>
      <c r="E44" s="281" t="s">
        <v>8</v>
      </c>
      <c r="F44" s="281" t="s">
        <v>267</v>
      </c>
      <c r="G44" s="281" t="s">
        <v>268</v>
      </c>
      <c r="H44" s="281" t="s">
        <v>10</v>
      </c>
      <c r="J44" s="281" t="s">
        <v>5</v>
      </c>
      <c r="K44" s="281" t="s">
        <v>64</v>
      </c>
      <c r="L44" s="281" t="s">
        <v>7</v>
      </c>
      <c r="M44" s="281" t="s">
        <v>8</v>
      </c>
      <c r="N44" s="281" t="s">
        <v>267</v>
      </c>
      <c r="O44" s="281" t="s">
        <v>268</v>
      </c>
      <c r="P44" s="281" t="s">
        <v>10</v>
      </c>
      <c r="R44" s="281" t="s">
        <v>5</v>
      </c>
      <c r="S44" s="281" t="s">
        <v>64</v>
      </c>
      <c r="T44" s="281" t="s">
        <v>7</v>
      </c>
      <c r="U44" s="281" t="s">
        <v>8</v>
      </c>
      <c r="V44" s="281" t="s">
        <v>267</v>
      </c>
      <c r="W44" s="281" t="s">
        <v>268</v>
      </c>
      <c r="X44" s="281" t="s">
        <v>10</v>
      </c>
    </row>
    <row r="45" spans="1:24">
      <c r="A45" s="283">
        <v>2021</v>
      </c>
      <c r="B45" s="896" t="s">
        <v>383</v>
      </c>
      <c r="C45" s="897"/>
      <c r="D45" s="897"/>
      <c r="E45" s="897"/>
      <c r="F45" s="897"/>
      <c r="G45" s="897"/>
      <c r="H45" s="898"/>
      <c r="J45" s="896" t="s">
        <v>382</v>
      </c>
      <c r="K45" s="897"/>
      <c r="L45" s="897"/>
      <c r="M45" s="897"/>
      <c r="N45" s="897"/>
      <c r="O45" s="897"/>
      <c r="P45" s="898"/>
      <c r="R45" s="896" t="s">
        <v>475</v>
      </c>
      <c r="S45" s="897"/>
      <c r="T45" s="897"/>
      <c r="U45" s="897"/>
      <c r="V45" s="897"/>
      <c r="W45" s="897"/>
      <c r="X45" s="898"/>
    </row>
    <row r="46" spans="1:24">
      <c r="A46" s="258" t="s">
        <v>286</v>
      </c>
      <c r="B46" s="306">
        <f>'6-x'!AK190</f>
        <v>0.35845862790002986</v>
      </c>
      <c r="C46" s="306">
        <f>'6-x'!AL190</f>
        <v>0.53243309284392637</v>
      </c>
      <c r="D46" s="306">
        <f>'6-x'!AM190</f>
        <v>0.39880358923230314</v>
      </c>
      <c r="E46" s="306">
        <f>'6-x'!AN190</f>
        <v>0.34772091347543038</v>
      </c>
      <c r="F46" s="306">
        <f>'6-x'!AO190</f>
        <v>0.31813558860621399</v>
      </c>
      <c r="G46" s="306">
        <f>'6-x'!AP190</f>
        <v>0.3679290869610975</v>
      </c>
      <c r="H46" s="306">
        <f>'6-x'!AQ190</f>
        <v>0.45832040890771869</v>
      </c>
      <c r="I46" s="56"/>
    </row>
    <row r="47" spans="1:24">
      <c r="A47" s="257" t="s">
        <v>18</v>
      </c>
      <c r="B47" s="262" t="str">
        <f>'6-x'!AK191</f>
        <v/>
      </c>
      <c r="C47" s="262">
        <f>'6-x'!AL191</f>
        <v>0.37866834963710949</v>
      </c>
      <c r="D47" s="262">
        <f>'6-x'!AM191</f>
        <v>0.39880358923230314</v>
      </c>
      <c r="E47" s="262">
        <f>'6-x'!AN191</f>
        <v>0.3781909864481563</v>
      </c>
      <c r="F47" s="262">
        <f>'6-x'!AO191</f>
        <v>0.40974277259276121</v>
      </c>
      <c r="G47" s="262">
        <f>'6-x'!AP191</f>
        <v>0.36791006642820645</v>
      </c>
      <c r="H47" s="306">
        <f>'6-x'!AQ191</f>
        <v>0.38015624569921652</v>
      </c>
      <c r="I47" s="56"/>
    </row>
    <row r="48" spans="1:24">
      <c r="A48" s="257" t="s">
        <v>19</v>
      </c>
      <c r="B48" s="262" t="str">
        <f>'6-x'!AK192</f>
        <v/>
      </c>
      <c r="C48" s="262">
        <f>'6-x'!AL192</f>
        <v>0.36775973030953113</v>
      </c>
      <c r="D48" s="262" t="str">
        <f>'6-x'!AM192</f>
        <v/>
      </c>
      <c r="E48" s="262">
        <f>'6-x'!AN192</f>
        <v>0.24122219244170467</v>
      </c>
      <c r="F48" s="262">
        <f>'6-x'!AO192</f>
        <v>0.27212941265401774</v>
      </c>
      <c r="G48" s="262">
        <f>'6-x'!AP192</f>
        <v>0.34315127251930228</v>
      </c>
      <c r="H48" s="306">
        <f>'6-x'!AQ192</f>
        <v>0.36295142521323481</v>
      </c>
      <c r="I48" s="56"/>
    </row>
    <row r="49" spans="1:24">
      <c r="A49" s="257" t="s">
        <v>20</v>
      </c>
      <c r="B49" s="262">
        <f>'6-x'!AK193</f>
        <v>0.35845862790002986</v>
      </c>
      <c r="C49" s="262">
        <f>'6-x'!AL193</f>
        <v>0.3605408112168253</v>
      </c>
      <c r="D49" s="262" t="str">
        <f>'6-x'!AM193</f>
        <v/>
      </c>
      <c r="E49" s="262">
        <f>'6-x'!AN193</f>
        <v>0.34492670307559642</v>
      </c>
      <c r="F49" s="262">
        <f>'6-x'!AO193</f>
        <v>0.26564344746162932</v>
      </c>
      <c r="G49" s="262">
        <f>'6-x'!AP193</f>
        <v>0.39787798408488068</v>
      </c>
      <c r="H49" s="306">
        <f>'6-x'!AQ193</f>
        <v>0.33237339705728908</v>
      </c>
      <c r="I49" s="56"/>
    </row>
    <row r="50" spans="1:24">
      <c r="A50" s="257" t="s">
        <v>21</v>
      </c>
      <c r="B50" s="262" t="str">
        <f>'6-x'!AK194</f>
        <v/>
      </c>
      <c r="C50" s="262">
        <f>'6-x'!AL194</f>
        <v>0.5377950403346281</v>
      </c>
      <c r="D50" s="262" t="str">
        <f>'6-x'!AM194</f>
        <v/>
      </c>
      <c r="E50" s="262">
        <f>'6-x'!AN194</f>
        <v>0.44444444444444448</v>
      </c>
      <c r="F50" s="262">
        <f>'6-x'!AO194</f>
        <v>0.46505619429014344</v>
      </c>
      <c r="G50" s="262">
        <f>'6-x'!AP194</f>
        <v>0.39991113085980889</v>
      </c>
      <c r="H50" s="306">
        <f>'6-x'!AQ194</f>
        <v>0.53510128024053616</v>
      </c>
      <c r="I50" s="56"/>
    </row>
    <row r="51" spans="1:24">
      <c r="A51" s="257" t="s">
        <v>23</v>
      </c>
      <c r="B51" s="262" t="str">
        <f>'6-x'!AK195</f>
        <v/>
      </c>
      <c r="C51" s="262" t="str">
        <f>'6-x'!AL195</f>
        <v/>
      </c>
      <c r="D51" s="262" t="str">
        <f>'6-x'!AM195</f>
        <v/>
      </c>
      <c r="E51" s="262" t="str">
        <f>'6-x'!AN195</f>
        <v/>
      </c>
      <c r="F51" s="262" t="str">
        <f>'6-x'!AO195</f>
        <v/>
      </c>
      <c r="G51" s="262" t="str">
        <f>'6-x'!AP195</f>
        <v/>
      </c>
      <c r="H51" s="306" t="str">
        <f>'6-x'!AQ195</f>
        <v/>
      </c>
      <c r="I51" s="56"/>
    </row>
    <row r="52" spans="1:24">
      <c r="A52" s="257" t="s">
        <v>388</v>
      </c>
      <c r="B52" s="262" t="str">
        <f>'6-x'!AK196</f>
        <v/>
      </c>
      <c r="C52" s="262" t="str">
        <f>'6-x'!AL196</f>
        <v/>
      </c>
      <c r="D52" s="262" t="str">
        <f>'6-x'!AM196</f>
        <v/>
      </c>
      <c r="E52" s="262" t="str">
        <f>'6-x'!AN196</f>
        <v/>
      </c>
      <c r="F52" s="262" t="str">
        <f>'6-x'!AO196</f>
        <v/>
      </c>
      <c r="G52" s="262" t="str">
        <f>'6-x'!AP196</f>
        <v/>
      </c>
      <c r="H52" s="306" t="str">
        <f>'6-x'!AQ196</f>
        <v/>
      </c>
      <c r="I52" s="56"/>
    </row>
    <row r="53" spans="1:24">
      <c r="A53" s="258" t="s">
        <v>287</v>
      </c>
      <c r="B53" s="306" t="str">
        <f>'6-x'!AK197</f>
        <v/>
      </c>
      <c r="C53" s="306">
        <f>'6-x'!AL197</f>
        <v>0.59226704197894098</v>
      </c>
      <c r="D53" s="306">
        <f>'6-x'!AM197</f>
        <v>0.3787259117033932</v>
      </c>
      <c r="E53" s="306">
        <f>'6-x'!AN197</f>
        <v>0.57287262887197943</v>
      </c>
      <c r="F53" s="306">
        <f>'6-x'!AO197</f>
        <v>0.41843692954635786</v>
      </c>
      <c r="G53" s="306">
        <f>'6-x'!AP197</f>
        <v>0.48484782966914297</v>
      </c>
      <c r="H53" s="306">
        <f>'6-x'!AQ197</f>
        <v>0.5574784668330206</v>
      </c>
      <c r="I53" s="56"/>
      <c r="J53" s="306" t="str">
        <f>'6-x'!AK213</f>
        <v/>
      </c>
      <c r="K53" s="306">
        <f>'6-x'!AL213</f>
        <v>0.66686597453031327</v>
      </c>
      <c r="L53" s="306">
        <f>'6-x'!AM213</f>
        <v>0.42592183314531351</v>
      </c>
      <c r="M53" s="306">
        <f>'6-x'!AN213</f>
        <v>0.77599251462005037</v>
      </c>
      <c r="N53" s="306">
        <f>'6-x'!AO213</f>
        <v>0.55506189647711623</v>
      </c>
      <c r="O53" s="306">
        <f>'6-x'!AP213</f>
        <v>0.58558012473212329</v>
      </c>
      <c r="P53" s="306">
        <f>'6-x'!AQ213</f>
        <v>0.64533507935764411</v>
      </c>
      <c r="R53" s="306" t="str">
        <f>'6-x'!AA249</f>
        <v/>
      </c>
      <c r="S53" s="306">
        <f>'6-x'!AB249</f>
        <v>0.87410719026642003</v>
      </c>
      <c r="T53" s="306">
        <f>'6-x'!AC249</f>
        <v>0.99208095028596555</v>
      </c>
      <c r="U53" s="306">
        <f>'6-x'!AD249</f>
        <v>0.90919593250495256</v>
      </c>
      <c r="V53" s="306">
        <f>'6-x'!AE249</f>
        <v>0.66403699203611677</v>
      </c>
      <c r="W53" s="306">
        <f>'6-x'!AF249</f>
        <v>0.39282127031019198</v>
      </c>
      <c r="X53" s="306">
        <f>'6-x'!AG249</f>
        <v>0.81812432657809364</v>
      </c>
    </row>
    <row r="54" spans="1:24">
      <c r="A54" s="257" t="s">
        <v>25</v>
      </c>
      <c r="B54" s="262" t="str">
        <f>'6-x'!AK198</f>
        <v/>
      </c>
      <c r="C54" s="262">
        <f>'6-x'!AL198</f>
        <v>0.62663185378590081</v>
      </c>
      <c r="D54" s="262">
        <f>'6-x'!AM198</f>
        <v>0.49375942943354822</v>
      </c>
      <c r="E54" s="262">
        <f>'6-x'!AN198</f>
        <v>0.55197792088316466</v>
      </c>
      <c r="F54" s="262">
        <f>'6-x'!AO198</f>
        <v>0.48681541582150106</v>
      </c>
      <c r="G54" s="262">
        <f>'6-x'!AP198</f>
        <v>0.48491379310344829</v>
      </c>
      <c r="H54" s="306">
        <f>'6-x'!AQ198</f>
        <v>0.56587767407715739</v>
      </c>
      <c r="I54" s="56"/>
      <c r="J54" s="262" t="str">
        <f>'6-x'!AK214</f>
        <v/>
      </c>
      <c r="K54" s="262">
        <f>'6-x'!AL214</f>
        <v>0.72677879734600803</v>
      </c>
      <c r="L54" s="262">
        <f>'6-x'!AM214</f>
        <v>0.59145423191537827</v>
      </c>
      <c r="M54" s="262">
        <f>'6-x'!AN214</f>
        <v>0.70465365021216786</v>
      </c>
      <c r="N54" s="262">
        <f>'6-x'!AO214</f>
        <v>0.65951610819710804</v>
      </c>
      <c r="O54" s="262">
        <f>'6-x'!AP214</f>
        <v>0.58564614266575543</v>
      </c>
      <c r="P54" s="306">
        <f>'6-x'!AQ214</f>
        <v>0.67635162099675539</v>
      </c>
      <c r="R54" s="262" t="str">
        <f>'6-x'!AA250</f>
        <v/>
      </c>
      <c r="S54" s="262">
        <f>'6-x'!AB250</f>
        <v>0.88903621359017326</v>
      </c>
      <c r="T54" s="262">
        <f>'6-x'!AC250</f>
        <v>0.989667049368542</v>
      </c>
      <c r="U54" s="262">
        <f>'6-x'!AD250</f>
        <v>0.39572192513368987</v>
      </c>
      <c r="V54" s="262">
        <f>'6-x'!AE250</f>
        <v>0.46938978829389788</v>
      </c>
      <c r="W54" s="262">
        <f>'6-x'!AF250</f>
        <v>0.3907652970208717</v>
      </c>
      <c r="X54" s="306">
        <f>'6-x'!AG250</f>
        <v>0.72003676840600894</v>
      </c>
    </row>
    <row r="55" spans="1:24">
      <c r="A55" s="257" t="s">
        <v>26</v>
      </c>
      <c r="B55" s="262" t="str">
        <f>'6-x'!AK199</f>
        <v/>
      </c>
      <c r="C55" s="262">
        <f>'6-x'!AL199</f>
        <v>0.6574141709276845</v>
      </c>
      <c r="D55" s="262" t="str">
        <f>'6-x'!AM199</f>
        <v/>
      </c>
      <c r="E55" s="262">
        <f>'6-x'!AN199</f>
        <v>0.67911714770797971</v>
      </c>
      <c r="F55" s="262">
        <f>'6-x'!AO199</f>
        <v>0.38668098818474755</v>
      </c>
      <c r="G55" s="262">
        <f>'6-x'!AP199</f>
        <v>0.61027292761484997</v>
      </c>
      <c r="H55" s="306">
        <f>'6-x'!AQ199</f>
        <v>0.65685874030454561</v>
      </c>
      <c r="I55" s="56"/>
      <c r="J55" s="262" t="str">
        <f>'6-x'!AK215</f>
        <v/>
      </c>
      <c r="K55" s="262">
        <f>'6-x'!AL215</f>
        <v>0.76157962726102935</v>
      </c>
      <c r="L55" s="262" t="str">
        <f>'6-x'!AM215</f>
        <v/>
      </c>
      <c r="M55" s="262">
        <f>'6-x'!AN215</f>
        <v>0.82063448994948451</v>
      </c>
      <c r="N55" s="262">
        <f>'6-x'!AO215</f>
        <v>0.70987222309376041</v>
      </c>
      <c r="O55" s="262">
        <f>'6-x'!AP215</f>
        <v>0.72370306684476926</v>
      </c>
      <c r="P55" s="306">
        <f>'6-x'!AQ215</f>
        <v>0.76379541439078003</v>
      </c>
      <c r="R55" s="262" t="str">
        <f>'6-x'!AA251</f>
        <v/>
      </c>
      <c r="S55" s="262">
        <f>'6-x'!AB251</f>
        <v>0.94974019513896824</v>
      </c>
      <c r="T55" s="262" t="str">
        <f>'6-x'!AC251</f>
        <v/>
      </c>
      <c r="U55" s="262">
        <f>'6-x'!AD251</f>
        <v>0.57668285912560724</v>
      </c>
      <c r="V55" s="262">
        <f>'6-x'!AE251</f>
        <v>0.68335273573923161</v>
      </c>
      <c r="W55" s="262">
        <f>'6-x'!AF251</f>
        <v>0.88888888888888884</v>
      </c>
      <c r="X55" s="306">
        <f>'6-x'!AG251</f>
        <v>0.92530479395377074</v>
      </c>
    </row>
    <row r="56" spans="1:24">
      <c r="A56" s="257" t="s">
        <v>27</v>
      </c>
      <c r="B56" s="262" t="str">
        <f>'6-x'!AK200</f>
        <v/>
      </c>
      <c r="C56" s="262">
        <f>'6-x'!AL200</f>
        <v>0.5815831987075929</v>
      </c>
      <c r="D56" s="262">
        <f>'6-x'!AM200</f>
        <v>0.409183905433053</v>
      </c>
      <c r="E56" s="262">
        <f>'6-x'!AN200</f>
        <v>0.54143480222589868</v>
      </c>
      <c r="F56" s="262">
        <f>'6-x'!AO200</f>
        <v>0.63818471902145013</v>
      </c>
      <c r="G56" s="262">
        <f>'6-x'!AP200</f>
        <v>0.46475600309837334</v>
      </c>
      <c r="H56" s="306">
        <f>'6-x'!AQ200</f>
        <v>0.57997847978531702</v>
      </c>
      <c r="I56" s="56"/>
      <c r="J56" s="262" t="str">
        <f>'6-x'!AK216</f>
        <v/>
      </c>
      <c r="K56" s="262">
        <f>'6-x'!AL216</f>
        <v>0.63515371681536259</v>
      </c>
      <c r="L56" s="262">
        <f>'6-x'!AM216</f>
        <v>0.47748677177606841</v>
      </c>
      <c r="M56" s="262">
        <f>'6-x'!AN216</f>
        <v>0.72688309003528151</v>
      </c>
      <c r="N56" s="262">
        <f>'6-x'!AO216</f>
        <v>0.66939145103154707</v>
      </c>
      <c r="O56" s="262">
        <f>'6-x'!AP216</f>
        <v>0.54960377405177196</v>
      </c>
      <c r="P56" s="306">
        <f>'6-x'!AQ216</f>
        <v>0.63706432726513385</v>
      </c>
      <c r="R56" s="262" t="str">
        <f>'6-x'!AA252</f>
        <v/>
      </c>
      <c r="S56" s="262">
        <f>'6-x'!AB252</f>
        <v>0.81924061210633514</v>
      </c>
      <c r="T56" s="262">
        <f>'6-x'!AC252</f>
        <v>0.99194270367054593</v>
      </c>
      <c r="U56" s="262">
        <f>'6-x'!AD252</f>
        <v>0.93888595564941923</v>
      </c>
      <c r="V56" s="262">
        <f>'6-x'!AE252</f>
        <v>0.99117746861214795</v>
      </c>
      <c r="W56" s="262">
        <f>'6-x'!AF252</f>
        <v>0.68456375838926165</v>
      </c>
      <c r="X56" s="306">
        <f>'6-x'!AG252</f>
        <v>0.8442432873129031</v>
      </c>
    </row>
    <row r="57" spans="1:24">
      <c r="A57" s="257" t="s">
        <v>28</v>
      </c>
      <c r="B57" s="262" t="str">
        <f>'6-x'!AK201</f>
        <v/>
      </c>
      <c r="C57" s="262">
        <f>'6-x'!AL201</f>
        <v>0.70963926670609112</v>
      </c>
      <c r="D57" s="262" t="str">
        <f>'6-x'!AM201</f>
        <v/>
      </c>
      <c r="E57" s="262">
        <f>'6-x'!AN201</f>
        <v>0.75487523589851124</v>
      </c>
      <c r="F57" s="262">
        <f>'6-x'!AO201</f>
        <v>0.62948067844028677</v>
      </c>
      <c r="G57" s="262" t="str">
        <f>'6-x'!AP201</f>
        <v/>
      </c>
      <c r="H57" s="306">
        <f>'6-x'!AQ201</f>
        <v>0.67497351612754219</v>
      </c>
      <c r="I57" s="56"/>
      <c r="J57" s="262" t="str">
        <f>'6-x'!AK217</f>
        <v/>
      </c>
      <c r="K57" s="262">
        <f>'6-x'!AL217</f>
        <v>0.84427590027136512</v>
      </c>
      <c r="L57" s="262" t="str">
        <f>'6-x'!AM217</f>
        <v/>
      </c>
      <c r="M57" s="262">
        <f>'6-x'!AN217</f>
        <v>0.87515555229202679</v>
      </c>
      <c r="N57" s="262">
        <f>'6-x'!AO217</f>
        <v>0.78563889864830072</v>
      </c>
      <c r="O57" s="262" t="str">
        <f>'6-x'!AP217</f>
        <v/>
      </c>
      <c r="P57" s="306">
        <f>'6-x'!AQ217</f>
        <v>0.82854988486724068</v>
      </c>
      <c r="R57" s="262" t="str">
        <f>'6-x'!AA253</f>
        <v/>
      </c>
      <c r="S57" s="262">
        <f>'6-x'!AB253</f>
        <v>0.96233545380109597</v>
      </c>
      <c r="T57" s="262" t="str">
        <f>'6-x'!AC253</f>
        <v/>
      </c>
      <c r="U57" s="262">
        <f>'6-x'!AD253</f>
        <v>0.99456627207451975</v>
      </c>
      <c r="V57" s="262">
        <f>'6-x'!AE253</f>
        <v>0.83075958297405339</v>
      </c>
      <c r="W57" s="262" t="str">
        <f>'6-x'!AF253</f>
        <v/>
      </c>
      <c r="X57" s="306">
        <f>'6-x'!AG253</f>
        <v>0.9277609142270159</v>
      </c>
    </row>
    <row r="58" spans="1:24">
      <c r="A58" s="257" t="s">
        <v>29</v>
      </c>
      <c r="B58" s="262" t="str">
        <f>'6-x'!AK202</f>
        <v/>
      </c>
      <c r="C58" s="262">
        <f>'6-x'!AL202</f>
        <v>0.39982230119946693</v>
      </c>
      <c r="D58" s="262">
        <f>'6-x'!AM202</f>
        <v>0.33594624860022393</v>
      </c>
      <c r="E58" s="262">
        <f>'6-x'!AN202</f>
        <v>0.54545454545454541</v>
      </c>
      <c r="F58" s="262">
        <f>'6-x'!AO202</f>
        <v>0.29414167824168641</v>
      </c>
      <c r="G58" s="262">
        <f>'6-x'!AP202</f>
        <v>0.3553099091985788</v>
      </c>
      <c r="H58" s="306">
        <f>'6-x'!AQ202</f>
        <v>0.31670543864857015</v>
      </c>
      <c r="I58" s="56"/>
      <c r="J58" s="262" t="str">
        <f>'6-x'!AK218</f>
        <v/>
      </c>
      <c r="K58" s="262">
        <f>'6-x'!AL218</f>
        <v>0.55344533747176661</v>
      </c>
      <c r="L58" s="262">
        <f>'6-x'!AM218</f>
        <v>0.34403411853273103</v>
      </c>
      <c r="M58" s="262">
        <f>'6-x'!AN218</f>
        <v>0.81934073138418617</v>
      </c>
      <c r="N58" s="262">
        <f>'6-x'!AO218</f>
        <v>0.4411963313631308</v>
      </c>
      <c r="O58" s="262">
        <f>'6-x'!AP218</f>
        <v>0.63055316715769572</v>
      </c>
      <c r="P58" s="306">
        <f>'6-x'!AQ218</f>
        <v>0.466498939961426</v>
      </c>
      <c r="R58" s="262" t="str">
        <f>'6-x'!AA254</f>
        <v/>
      </c>
      <c r="S58" s="262">
        <f>'6-x'!AB254</f>
        <v>0.95319648093841647</v>
      </c>
      <c r="T58" s="262">
        <f>'6-x'!AC254</f>
        <v>1</v>
      </c>
      <c r="U58" s="262">
        <f>'6-x'!AD254</f>
        <v>0.96283730053543981</v>
      </c>
      <c r="V58" s="262">
        <f>'6-x'!AE254</f>
        <v>0.58445193797440342</v>
      </c>
      <c r="W58" s="262">
        <f>'6-x'!AF254</f>
        <v>0.30769230769230771</v>
      </c>
      <c r="X58" s="306">
        <f>'6-x'!AG254</f>
        <v>0.70515212445102926</v>
      </c>
    </row>
    <row r="59" spans="1:24">
      <c r="A59" s="257" t="s">
        <v>391</v>
      </c>
      <c r="B59" s="262" t="str">
        <f>'6-x'!AK203</f>
        <v/>
      </c>
      <c r="C59" s="262">
        <f>'6-x'!AL203</f>
        <v>0.49093140597299884</v>
      </c>
      <c r="D59" s="262" t="str">
        <f>'6-x'!AM203</f>
        <v/>
      </c>
      <c r="E59" s="262" t="str">
        <f>'6-x'!AN203</f>
        <v/>
      </c>
      <c r="F59" s="262" t="str">
        <f>'6-x'!AO203</f>
        <v/>
      </c>
      <c r="G59" s="262" t="str">
        <f>'6-x'!AP203</f>
        <v/>
      </c>
      <c r="H59" s="306">
        <f>'6-x'!AQ203</f>
        <v>0.50893222419200868</v>
      </c>
      <c r="I59" s="56"/>
      <c r="J59" s="262" t="str">
        <f>'6-x'!AK219</f>
        <v/>
      </c>
      <c r="K59" s="262">
        <f>'6-x'!AL219</f>
        <v>0.4299226139576956</v>
      </c>
      <c r="L59" s="262" t="str">
        <f>'6-x'!AM219</f>
        <v/>
      </c>
      <c r="M59" s="262" t="str">
        <f>'6-x'!AN219</f>
        <v/>
      </c>
      <c r="N59" s="262" t="str">
        <f>'6-x'!AO219</f>
        <v/>
      </c>
      <c r="O59" s="262" t="str">
        <f>'6-x'!AP219</f>
        <v/>
      </c>
      <c r="P59" s="306">
        <f>'6-x'!AQ219</f>
        <v>0.43938091146414449</v>
      </c>
      <c r="R59" s="262" t="str">
        <f>'6-x'!AA255</f>
        <v/>
      </c>
      <c r="S59" s="262">
        <f>'6-x'!AB255</f>
        <v>0</v>
      </c>
      <c r="T59" s="262" t="str">
        <f>'6-x'!AC255</f>
        <v/>
      </c>
      <c r="U59" s="262" t="str">
        <f>'6-x'!AD255</f>
        <v/>
      </c>
      <c r="V59" s="262" t="str">
        <f>'6-x'!AE255</f>
        <v/>
      </c>
      <c r="W59" s="262">
        <f>'6-x'!AF255</f>
        <v>0</v>
      </c>
      <c r="X59" s="306">
        <f>'6-x'!AG255</f>
        <v>0</v>
      </c>
    </row>
    <row r="60" spans="1:24">
      <c r="A60" s="368" t="s">
        <v>10</v>
      </c>
      <c r="B60" s="369">
        <f>'6-x'!AK204</f>
        <v>0.35845913918398986</v>
      </c>
      <c r="C60" s="369">
        <f>'6-x'!AL204</f>
        <v>0.56522031612165824</v>
      </c>
      <c r="D60" s="369">
        <f>'6-x'!AM204</f>
        <v>0.3789738507908858</v>
      </c>
      <c r="E60" s="369">
        <f>'6-x'!AN204</f>
        <v>0.42898257623080316</v>
      </c>
      <c r="F60" s="369">
        <f>'6-x'!AO204</f>
        <v>0.36689924370564569</v>
      </c>
      <c r="G60" s="369">
        <f>'6-x'!AP204</f>
        <v>0.4411167240349626</v>
      </c>
      <c r="H60" s="369">
        <f>'6-x'!AQ204</f>
        <v>0.5067333340700052</v>
      </c>
      <c r="I60" s="56"/>
      <c r="J60" s="369">
        <f>'6-x'!AK220</f>
        <v>0.35845913918398981</v>
      </c>
      <c r="K60" s="369">
        <f>'6-x'!AL220</f>
        <v>0.61518943206973475</v>
      </c>
      <c r="L60" s="369">
        <f>'6-x'!AM220</f>
        <v>0.42561692926916211</v>
      </c>
      <c r="M60" s="369">
        <f>'6-x'!AN220</f>
        <v>0.60520542936673882</v>
      </c>
      <c r="N60" s="369">
        <f>'6-x'!AO220</f>
        <v>0.45489720624694224</v>
      </c>
      <c r="O60" s="369">
        <f>'6-x'!AP220</f>
        <v>0.51795845297599208</v>
      </c>
      <c r="P60" s="369">
        <f>'6-x'!AQ220</f>
        <v>0.56374422686980319</v>
      </c>
    </row>
    <row r="61" spans="1:24" ht="15.6">
      <c r="A61" s="47"/>
    </row>
    <row r="62" spans="1:24" ht="15.6">
      <c r="A62" s="47"/>
    </row>
    <row r="63" spans="1:24">
      <c r="B63" s="895" t="s">
        <v>11</v>
      </c>
      <c r="C63" s="895"/>
      <c r="D63" s="895"/>
      <c r="E63" s="895"/>
      <c r="F63" s="895"/>
      <c r="G63" s="895"/>
      <c r="H63" s="895"/>
      <c r="J63" s="895" t="s">
        <v>11</v>
      </c>
      <c r="K63" s="895"/>
      <c r="L63" s="895"/>
      <c r="M63" s="895"/>
      <c r="N63" s="895"/>
      <c r="O63" s="895"/>
      <c r="P63" s="895"/>
    </row>
    <row r="64" spans="1:24" ht="28.8">
      <c r="B64" s="281" t="s">
        <v>5</v>
      </c>
      <c r="C64" s="281" t="s">
        <v>64</v>
      </c>
      <c r="D64" s="281" t="s">
        <v>7</v>
      </c>
      <c r="E64" s="281" t="s">
        <v>8</v>
      </c>
      <c r="F64" s="281" t="s">
        <v>267</v>
      </c>
      <c r="G64" s="281" t="s">
        <v>268</v>
      </c>
      <c r="H64" s="281" t="s">
        <v>10</v>
      </c>
      <c r="J64" s="281" t="s">
        <v>5</v>
      </c>
      <c r="K64" s="281" t="s">
        <v>64</v>
      </c>
      <c r="L64" s="281" t="s">
        <v>7</v>
      </c>
      <c r="M64" s="281" t="s">
        <v>8</v>
      </c>
      <c r="N64" s="281" t="s">
        <v>267</v>
      </c>
      <c r="O64" s="281" t="s">
        <v>268</v>
      </c>
      <c r="P64" s="281" t="s">
        <v>10</v>
      </c>
    </row>
    <row r="65" spans="1:20">
      <c r="A65" s="283">
        <v>2020</v>
      </c>
      <c r="B65" s="896" t="s">
        <v>383</v>
      </c>
      <c r="C65" s="897"/>
      <c r="D65" s="897"/>
      <c r="E65" s="897"/>
      <c r="F65" s="897"/>
      <c r="G65" s="897"/>
      <c r="H65" s="898"/>
      <c r="J65" s="896" t="s">
        <v>382</v>
      </c>
      <c r="K65" s="897"/>
      <c r="L65" s="897"/>
      <c r="M65" s="897"/>
      <c r="N65" s="897"/>
      <c r="O65" s="897"/>
      <c r="P65" s="898"/>
    </row>
    <row r="66" spans="1:20">
      <c r="A66" s="258" t="s">
        <v>286</v>
      </c>
      <c r="B66" s="306">
        <f>'6-x'!AK282</f>
        <v>0.3638936621853836</v>
      </c>
      <c r="C66" s="306">
        <f>'6-x'!AL282</f>
        <v>0.52807104995971044</v>
      </c>
      <c r="D66" s="306">
        <f>'6-x'!AM282</f>
        <v>0.37946663855802676</v>
      </c>
      <c r="E66" s="306">
        <f>'6-x'!AN282</f>
        <v>0.33449637008434002</v>
      </c>
      <c r="F66" s="306">
        <f>'6-x'!AO282</f>
        <v>0.32057548701714178</v>
      </c>
      <c r="G66" s="306">
        <f>'6-x'!AP282</f>
        <v>0.36854913567623421</v>
      </c>
      <c r="H66" s="306">
        <f>'6-x'!AQ282</f>
        <v>0.45676580397457756</v>
      </c>
      <c r="I66" s="56"/>
      <c r="T66" s="607"/>
    </row>
    <row r="67" spans="1:20">
      <c r="A67" s="257" t="s">
        <v>18</v>
      </c>
      <c r="B67" s="262" t="str">
        <f>'6-x'!AK283</f>
        <v/>
      </c>
      <c r="C67" s="262">
        <f>'6-x'!AL283</f>
        <v>0.35022862146123168</v>
      </c>
      <c r="D67" s="262">
        <f>'6-x'!AM283</f>
        <v>0.37946663855802676</v>
      </c>
      <c r="E67" s="262">
        <f>'6-x'!AN283</f>
        <v>0.37894736842105264</v>
      </c>
      <c r="F67" s="262">
        <f>'6-x'!AO283</f>
        <v>0.41488993891898124</v>
      </c>
      <c r="G67" s="262">
        <f>'6-x'!AP283</f>
        <v>0.36836181315870259</v>
      </c>
      <c r="H67" s="306">
        <f>'6-x'!AQ283</f>
        <v>0.38082108460351299</v>
      </c>
      <c r="I67" s="56"/>
    </row>
    <row r="68" spans="1:20">
      <c r="A68" s="257" t="s">
        <v>19</v>
      </c>
      <c r="B68" s="262" t="str">
        <f>'6-x'!AK284</f>
        <v/>
      </c>
      <c r="C68" s="262">
        <f>'6-x'!AL284</f>
        <v>0.48886474741988062</v>
      </c>
      <c r="D68" s="262" t="str">
        <f>'6-x'!AM284</f>
        <v/>
      </c>
      <c r="E68" s="262">
        <f>'6-x'!AN284</f>
        <v>0.23311532733277213</v>
      </c>
      <c r="F68" s="262">
        <f>'6-x'!AO284</f>
        <v>0.268897520167314</v>
      </c>
      <c r="G68" s="262">
        <f>'6-x'!AP284</f>
        <v>0.31985784095957354</v>
      </c>
      <c r="H68" s="306">
        <f>'6-x'!AQ284</f>
        <v>0.48261138138219112</v>
      </c>
      <c r="I68" s="56"/>
    </row>
    <row r="69" spans="1:20">
      <c r="A69" s="257" t="s">
        <v>20</v>
      </c>
      <c r="B69" s="262">
        <f>'6-x'!AK285</f>
        <v>0.3638936621853836</v>
      </c>
      <c r="C69" s="262">
        <f>'6-x'!AL285</f>
        <v>0.36337942868678713</v>
      </c>
      <c r="D69" s="262" t="str">
        <f>'6-x'!AM285</f>
        <v/>
      </c>
      <c r="E69" s="262">
        <f>'6-x'!AN285</f>
        <v>0.32688640697357663</v>
      </c>
      <c r="F69" s="262">
        <f>'6-x'!AO285</f>
        <v>0.26686434395848779</v>
      </c>
      <c r="G69" s="262">
        <f>'6-x'!AP285</f>
        <v>0.39805395842547542</v>
      </c>
      <c r="H69" s="306">
        <f>'6-x'!AQ285</f>
        <v>0.33497450251424421</v>
      </c>
      <c r="I69" s="56"/>
    </row>
    <row r="70" spans="1:20">
      <c r="A70" s="257" t="s">
        <v>21</v>
      </c>
      <c r="B70" s="262" t="str">
        <f>'6-x'!AK286</f>
        <v/>
      </c>
      <c r="C70" s="262">
        <f>'6-x'!AL286</f>
        <v>0.53215077605321504</v>
      </c>
      <c r="D70" s="262" t="str">
        <f>'6-x'!AM286</f>
        <v/>
      </c>
      <c r="E70" s="262">
        <f>'6-x'!AN286</f>
        <v>0.44015160777601176</v>
      </c>
      <c r="F70" s="262">
        <f>'6-x'!AO286</f>
        <v>0.46978989951716033</v>
      </c>
      <c r="G70" s="262">
        <f>'6-x'!AP286</f>
        <v>0.40017785682525564</v>
      </c>
      <c r="H70" s="306">
        <f>'6-x'!AQ286</f>
        <v>0.53000236657134003</v>
      </c>
      <c r="I70" s="56"/>
    </row>
    <row r="71" spans="1:20">
      <c r="A71" s="257" t="s">
        <v>23</v>
      </c>
      <c r="B71" s="262" t="str">
        <f>'6-x'!AK287</f>
        <v/>
      </c>
      <c r="C71" s="262" t="str">
        <f>'6-x'!AL287</f>
        <v/>
      </c>
      <c r="D71" s="262" t="str">
        <f>'6-x'!AM287</f>
        <v/>
      </c>
      <c r="E71" s="262" t="str">
        <f>'6-x'!AN287</f>
        <v/>
      </c>
      <c r="F71" s="262" t="str">
        <f>'6-x'!AO287</f>
        <v/>
      </c>
      <c r="G71" s="262" t="str">
        <f>'6-x'!AP287</f>
        <v/>
      </c>
      <c r="H71" s="306" t="str">
        <f>'6-x'!AQ287</f>
        <v/>
      </c>
      <c r="I71" s="56"/>
    </row>
    <row r="72" spans="1:20">
      <c r="A72" s="257" t="s">
        <v>388</v>
      </c>
      <c r="B72" s="262" t="str">
        <f>'6-x'!AK288</f>
        <v/>
      </c>
      <c r="C72" s="262" t="str">
        <f>'6-x'!AL288</f>
        <v/>
      </c>
      <c r="D72" s="262" t="str">
        <f>'6-x'!AM288</f>
        <v/>
      </c>
      <c r="E72" s="262" t="str">
        <f>'6-x'!AN288</f>
        <v/>
      </c>
      <c r="F72" s="262" t="str">
        <f>'6-x'!AO288</f>
        <v/>
      </c>
      <c r="G72" s="262" t="str">
        <f>'6-x'!AP288</f>
        <v/>
      </c>
      <c r="H72" s="306" t="str">
        <f>'6-x'!AQ288</f>
        <v/>
      </c>
      <c r="I72" s="56"/>
    </row>
    <row r="73" spans="1:20">
      <c r="A73" s="258" t="s">
        <v>287</v>
      </c>
      <c r="B73" s="306">
        <f>'6-x'!AK289</f>
        <v>0.81903563258745982</v>
      </c>
      <c r="C73" s="306">
        <f>'6-x'!AL289</f>
        <v>0.58696905306942204</v>
      </c>
      <c r="D73" s="306">
        <f>'6-x'!AM289</f>
        <v>0.42508528480136704</v>
      </c>
      <c r="E73" s="306">
        <f>'6-x'!AN289</f>
        <v>0.60159460396568898</v>
      </c>
      <c r="F73" s="306">
        <f>'6-x'!AO289</f>
        <v>0.44142449569344594</v>
      </c>
      <c r="G73" s="306">
        <f>'6-x'!AP289</f>
        <v>0.48948237510109993</v>
      </c>
      <c r="H73" s="306">
        <f>'6-x'!AQ289</f>
        <v>0.55364569944741859</v>
      </c>
      <c r="I73" s="56"/>
      <c r="J73" s="306">
        <f>'6-x'!AK305</f>
        <v>0.87991160371620925</v>
      </c>
      <c r="K73" s="306">
        <f>'6-x'!AL305</f>
        <v>0.66113864450125281</v>
      </c>
      <c r="L73" s="306">
        <f>'6-x'!AM305</f>
        <v>0.51521711453109542</v>
      </c>
      <c r="M73" s="306">
        <f>'6-x'!AN305</f>
        <v>0.78484319920089973</v>
      </c>
      <c r="N73" s="306">
        <f>'6-x'!AO305</f>
        <v>0.57745003865470146</v>
      </c>
      <c r="O73" s="306">
        <f>'6-x'!AP305</f>
        <v>0.58718597550375307</v>
      </c>
      <c r="P73" s="306">
        <f>'6-x'!AQ305</f>
        <v>0.64389183397955718</v>
      </c>
      <c r="R73" s="607"/>
      <c r="T73" s="607"/>
    </row>
    <row r="74" spans="1:20">
      <c r="A74" s="257" t="s">
        <v>25</v>
      </c>
      <c r="B74" s="262" t="str">
        <f>'6-x'!AK290</f>
        <v/>
      </c>
      <c r="C74" s="262">
        <f>'6-x'!AL290</f>
        <v>0.61276595744680851</v>
      </c>
      <c r="D74" s="262">
        <f>'6-x'!AM290</f>
        <v>0.53819703991628054</v>
      </c>
      <c r="E74" s="262">
        <f>'6-x'!AN290</f>
        <v>0.58148925860119527</v>
      </c>
      <c r="F74" s="262">
        <f>'6-x'!AO290</f>
        <v>0.48205677557579008</v>
      </c>
      <c r="G74" s="262">
        <f>'6-x'!AP290</f>
        <v>0.48959608323133413</v>
      </c>
      <c r="H74" s="306">
        <f>'6-x'!AQ290</f>
        <v>0.55403563615582563</v>
      </c>
      <c r="I74" s="56"/>
      <c r="J74" s="262" t="str">
        <f>'6-x'!AK306</f>
        <v/>
      </c>
      <c r="K74" s="262">
        <f>'6-x'!AL306</f>
        <v>0.70713197560190011</v>
      </c>
      <c r="L74" s="262">
        <f>'6-x'!AM306</f>
        <v>0.64545809385889485</v>
      </c>
      <c r="M74" s="262">
        <f>'6-x'!AN306</f>
        <v>0.73574897363544989</v>
      </c>
      <c r="N74" s="262">
        <f>'6-x'!AO306</f>
        <v>0.6377265253202542</v>
      </c>
      <c r="O74" s="262">
        <f>'6-x'!AP306</f>
        <v>0.58730573855057555</v>
      </c>
      <c r="P74" s="306">
        <f>'6-x'!AQ306</f>
        <v>0.66042129920170833</v>
      </c>
      <c r="R74" s="607"/>
    </row>
    <row r="75" spans="1:20">
      <c r="A75" s="257" t="s">
        <v>26</v>
      </c>
      <c r="B75" s="262" t="str">
        <f>'6-x'!AK291</f>
        <v/>
      </c>
      <c r="C75" s="262">
        <f>'6-x'!AL291</f>
        <v>0.60504201680672265</v>
      </c>
      <c r="D75" s="262" t="str">
        <f>'6-x'!AM291</f>
        <v/>
      </c>
      <c r="E75" s="262">
        <f>'6-x'!AN291</f>
        <v>0.6953834266949972</v>
      </c>
      <c r="F75" s="262">
        <f>'6-x'!AO291</f>
        <v>0.38801465833153698</v>
      </c>
      <c r="G75" s="262">
        <f>'6-x'!AP291</f>
        <v>0.53105177754831101</v>
      </c>
      <c r="H75" s="306">
        <f>'6-x'!AQ291</f>
        <v>0.61059467979972815</v>
      </c>
      <c r="I75" s="56"/>
      <c r="J75" s="262" t="str">
        <f>'6-x'!AK307</f>
        <v/>
      </c>
      <c r="K75" s="262">
        <f>'6-x'!AL307</f>
        <v>0.74784464817561536</v>
      </c>
      <c r="L75" s="262" t="str">
        <f>'6-x'!AM307</f>
        <v/>
      </c>
      <c r="M75" s="262">
        <f>'6-x'!AN307</f>
        <v>0.81934425003784417</v>
      </c>
      <c r="N75" s="262">
        <f>'6-x'!AO307</f>
        <v>0.72052105450950799</v>
      </c>
      <c r="O75" s="262">
        <f>'6-x'!AP307</f>
        <v>0.61845801089137276</v>
      </c>
      <c r="P75" s="306">
        <f>'6-x'!AQ307</f>
        <v>0.7545839220549474</v>
      </c>
      <c r="R75" s="607"/>
    </row>
    <row r="76" spans="1:20">
      <c r="A76" s="257" t="s">
        <v>27</v>
      </c>
      <c r="B76" s="262" t="str">
        <f>'6-x'!AK292</f>
        <v/>
      </c>
      <c r="C76" s="262">
        <f>'6-x'!AL292</f>
        <v>0.5844155844155845</v>
      </c>
      <c r="D76" s="262">
        <f>'6-x'!AM292</f>
        <v>0.44198895027624313</v>
      </c>
      <c r="E76" s="262">
        <f>'6-x'!AN292</f>
        <v>0.55529847292919943</v>
      </c>
      <c r="F76" s="262">
        <f>'6-x'!AO292</f>
        <v>0.59751037344398339</v>
      </c>
      <c r="G76" s="262">
        <f>'6-x'!AP292</f>
        <v>0.46674445740956833</v>
      </c>
      <c r="H76" s="306">
        <f>'6-x'!AQ292</f>
        <v>0.58251144479484218</v>
      </c>
      <c r="I76" s="56"/>
      <c r="J76" s="262" t="str">
        <f>'6-x'!AK308</f>
        <v/>
      </c>
      <c r="K76" s="262">
        <f>'6-x'!AL308</f>
        <v>0.64075455083463773</v>
      </c>
      <c r="L76" s="262">
        <f>'6-x'!AM308</f>
        <v>0.53025568220556729</v>
      </c>
      <c r="M76" s="262">
        <f>'6-x'!AN308</f>
        <v>0.74325013871699497</v>
      </c>
      <c r="N76" s="262">
        <f>'6-x'!AO308</f>
        <v>0.64143723578770362</v>
      </c>
      <c r="O76" s="262">
        <f>'6-x'!AP308</f>
        <v>0.56106287964940504</v>
      </c>
      <c r="P76" s="306">
        <f>'6-x'!AQ308</f>
        <v>0.64247638845091237</v>
      </c>
      <c r="R76" s="607"/>
    </row>
    <row r="77" spans="1:20">
      <c r="A77" s="257" t="s">
        <v>28</v>
      </c>
      <c r="B77" s="262" t="str">
        <f>'6-x'!AK293</f>
        <v/>
      </c>
      <c r="C77" s="262">
        <f>'6-x'!AL293</f>
        <v>0.73007503548975861</v>
      </c>
      <c r="D77" s="262" t="str">
        <f>'6-x'!AM293</f>
        <v/>
      </c>
      <c r="E77" s="262">
        <f>'6-x'!AN293</f>
        <v>0.68899521531100483</v>
      </c>
      <c r="F77" s="262">
        <f>'6-x'!AO293</f>
        <v>0.60483870967741937</v>
      </c>
      <c r="G77" s="262" t="str">
        <f>'6-x'!AP293</f>
        <v/>
      </c>
      <c r="H77" s="306">
        <f>'6-x'!AQ293</f>
        <v>0.66050210300908729</v>
      </c>
      <c r="I77" s="56"/>
      <c r="J77" s="262" t="str">
        <f>'6-x'!AK309</f>
        <v/>
      </c>
      <c r="K77" s="262">
        <f>'6-x'!AL309</f>
        <v>0.85153725359738275</v>
      </c>
      <c r="L77" s="262" t="str">
        <f>'6-x'!AM309</f>
        <v/>
      </c>
      <c r="M77" s="262">
        <f>'6-x'!AN309</f>
        <v>0.84771197543544408</v>
      </c>
      <c r="N77" s="262">
        <f>'6-x'!AO309</f>
        <v>0.76991767135122324</v>
      </c>
      <c r="O77" s="262">
        <f>'6-x'!AP309</f>
        <v>0.18598452278589853</v>
      </c>
      <c r="P77" s="306">
        <f>'6-x'!AQ309</f>
        <v>0.81774970158679017</v>
      </c>
      <c r="R77" s="607"/>
    </row>
    <row r="78" spans="1:20">
      <c r="A78" s="257" t="s">
        <v>29</v>
      </c>
      <c r="B78" s="262">
        <f>'6-x'!AK294</f>
        <v>0.81892629663330307</v>
      </c>
      <c r="C78" s="262">
        <f>'6-x'!AL294</f>
        <v>0.4062746868299289</v>
      </c>
      <c r="D78" s="262">
        <f>'6-x'!AM294</f>
        <v>0.38572806171648988</v>
      </c>
      <c r="E78" s="262">
        <f>'6-x'!AN294</f>
        <v>0.73364581210515589</v>
      </c>
      <c r="F78" s="262">
        <f>'6-x'!AO294</f>
        <v>0.29313573813207394</v>
      </c>
      <c r="G78" s="262">
        <f>'6-x'!AP294</f>
        <v>0.30753459764223479</v>
      </c>
      <c r="H78" s="306">
        <f>'6-x'!AQ294</f>
        <v>0.32434142812629291</v>
      </c>
      <c r="I78" s="56"/>
      <c r="J78" s="262">
        <f>'6-x'!AK310</f>
        <v>0.87988538892267698</v>
      </c>
      <c r="K78" s="262">
        <f>'6-x'!AL310</f>
        <v>0.55581433476404962</v>
      </c>
      <c r="L78" s="262">
        <f>'6-x'!AM310</f>
        <v>0.47126580017529213</v>
      </c>
      <c r="M78" s="262">
        <f>'6-x'!AN310</f>
        <v>0.86982133271259798</v>
      </c>
      <c r="N78" s="262">
        <f>'6-x'!AO310</f>
        <v>0.49024760441148574</v>
      </c>
      <c r="O78" s="262">
        <f>'6-x'!AP310</f>
        <v>0.48645743766122101</v>
      </c>
      <c r="P78" s="306">
        <f>'6-x'!AQ310</f>
        <v>0.51966295686348529</v>
      </c>
      <c r="R78" s="607"/>
    </row>
    <row r="79" spans="1:20">
      <c r="A79" s="257" t="s">
        <v>391</v>
      </c>
      <c r="B79" s="262" t="str">
        <f>'6-x'!AK295</f>
        <v/>
      </c>
      <c r="C79" s="262" t="str">
        <f>'6-x'!AL295</f>
        <v/>
      </c>
      <c r="D79" s="262" t="str">
        <f>'6-x'!AM295</f>
        <v/>
      </c>
      <c r="E79" s="262" t="str">
        <f>'6-x'!AN295</f>
        <v/>
      </c>
      <c r="F79" s="262" t="str">
        <f>'6-x'!AO295</f>
        <v/>
      </c>
      <c r="G79" s="262" t="str">
        <f>'6-x'!AP295</f>
        <v/>
      </c>
      <c r="H79" s="306" t="str">
        <f>'6-x'!AQ295</f>
        <v/>
      </c>
      <c r="I79" s="56"/>
      <c r="J79" s="262" t="str">
        <f>'6-x'!AK311</f>
        <v/>
      </c>
      <c r="K79" s="262">
        <f>'6-x'!AL311</f>
        <v>0.25795356835769556</v>
      </c>
      <c r="L79" s="262" t="str">
        <f>'6-x'!AM311</f>
        <v/>
      </c>
      <c r="M79" s="262" t="str">
        <f>'6-x'!AN311</f>
        <v/>
      </c>
      <c r="N79" s="262" t="str">
        <f>'6-x'!AO311</f>
        <v/>
      </c>
      <c r="O79" s="262" t="str">
        <f>'6-x'!AP311</f>
        <v/>
      </c>
      <c r="P79" s="306">
        <f>'6-x'!AQ311</f>
        <v>0.34393809114359414</v>
      </c>
      <c r="R79" s="607"/>
    </row>
    <row r="80" spans="1:20">
      <c r="A80" s="368" t="s">
        <v>10</v>
      </c>
      <c r="B80" s="369">
        <f>'6-x'!AK296</f>
        <v>0.36502938278123259</v>
      </c>
      <c r="C80" s="369">
        <f>'6-x'!AL296</f>
        <v>0.56081755607601236</v>
      </c>
      <c r="D80" s="369">
        <f>'6-x'!AM296</f>
        <v>0.42424957491064463</v>
      </c>
      <c r="E80" s="369">
        <f>'6-x'!AN296</f>
        <v>0.47580123746107061</v>
      </c>
      <c r="F80" s="369">
        <f>'6-x'!AO296</f>
        <v>0.3895786303186537</v>
      </c>
      <c r="G80" s="369">
        <f>'6-x'!AP296</f>
        <v>0.44046136499920246</v>
      </c>
      <c r="H80" s="369">
        <f>'6-x'!AQ296</f>
        <v>0.50595431541838687</v>
      </c>
      <c r="I80" s="56"/>
      <c r="J80" s="369">
        <f>'6-x'!AK312</f>
        <v>0.36922189671573852</v>
      </c>
      <c r="K80" s="369">
        <f>'6-x'!AL312</f>
        <v>0.61095232135927002</v>
      </c>
      <c r="L80" s="369">
        <f>'6-x'!AM312</f>
        <v>0.51319552395034929</v>
      </c>
      <c r="M80" s="369">
        <f>'6-x'!AN312</f>
        <v>0.66977016056838745</v>
      </c>
      <c r="N80" s="369">
        <f>'6-x'!AO312</f>
        <v>0.49029691183370061</v>
      </c>
      <c r="O80" s="369">
        <f>'6-x'!AP312</f>
        <v>0.51274731792560246</v>
      </c>
      <c r="P80" s="369">
        <f>'6-x'!AQ312</f>
        <v>0.5662569852912902</v>
      </c>
      <c r="R80" s="607"/>
      <c r="T80" s="607"/>
    </row>
    <row r="81" spans="1:20" ht="15.6">
      <c r="A81" s="47"/>
    </row>
    <row r="82" spans="1:20" ht="15.6">
      <c r="A82" s="47"/>
    </row>
    <row r="83" spans="1:20">
      <c r="B83" s="895" t="s">
        <v>11</v>
      </c>
      <c r="C83" s="895"/>
      <c r="D83" s="895"/>
      <c r="E83" s="895"/>
      <c r="F83" s="895"/>
      <c r="G83" s="895"/>
      <c r="H83" s="895"/>
      <c r="J83" s="895" t="s">
        <v>11</v>
      </c>
      <c r="K83" s="895"/>
      <c r="L83" s="895"/>
      <c r="M83" s="895"/>
      <c r="N83" s="895"/>
      <c r="O83" s="895"/>
      <c r="P83" s="895"/>
    </row>
    <row r="84" spans="1:20" ht="28.8">
      <c r="B84" s="281" t="s">
        <v>5</v>
      </c>
      <c r="C84" s="281" t="s">
        <v>64</v>
      </c>
      <c r="D84" s="281" t="s">
        <v>7</v>
      </c>
      <c r="E84" s="281" t="s">
        <v>8</v>
      </c>
      <c r="F84" s="281" t="s">
        <v>267</v>
      </c>
      <c r="G84" s="281" t="s">
        <v>268</v>
      </c>
      <c r="H84" s="281" t="s">
        <v>10</v>
      </c>
      <c r="J84" s="281" t="s">
        <v>5</v>
      </c>
      <c r="K84" s="281" t="s">
        <v>64</v>
      </c>
      <c r="L84" s="281" t="s">
        <v>7</v>
      </c>
      <c r="M84" s="281" t="s">
        <v>8</v>
      </c>
      <c r="N84" s="281" t="s">
        <v>267</v>
      </c>
      <c r="O84" s="281" t="s">
        <v>268</v>
      </c>
      <c r="P84" s="281" t="s">
        <v>10</v>
      </c>
    </row>
    <row r="85" spans="1:20">
      <c r="A85" s="283">
        <v>2019</v>
      </c>
      <c r="B85" s="896" t="s">
        <v>383</v>
      </c>
      <c r="C85" s="897"/>
      <c r="D85" s="897"/>
      <c r="E85" s="897"/>
      <c r="F85" s="897"/>
      <c r="G85" s="897"/>
      <c r="H85" s="898"/>
      <c r="J85" s="896" t="s">
        <v>382</v>
      </c>
      <c r="K85" s="897"/>
      <c r="L85" s="897"/>
      <c r="M85" s="897"/>
      <c r="N85" s="897"/>
      <c r="O85" s="897"/>
      <c r="P85" s="898"/>
    </row>
    <row r="86" spans="1:20">
      <c r="A86" s="258" t="s">
        <v>286</v>
      </c>
      <c r="B86" s="306">
        <f>'6-x'!AK374</f>
        <v>0.37590059517594238</v>
      </c>
      <c r="C86" s="306">
        <f>'6-x'!AL374</f>
        <v>0.53150074367206124</v>
      </c>
      <c r="D86" s="306">
        <f>'6-x'!AM374</f>
        <v>0.4005786135529098</v>
      </c>
      <c r="E86" s="306">
        <f>'6-x'!AN374</f>
        <v>0.33656086253415235</v>
      </c>
      <c r="F86" s="306">
        <f>'6-x'!AO374</f>
        <v>0.31567771404166367</v>
      </c>
      <c r="G86" s="306">
        <f>'6-x'!AP374</f>
        <v>0.36341288029775237</v>
      </c>
      <c r="H86" s="306">
        <f>'6-x'!AQ374</f>
        <v>0.4548843193502361</v>
      </c>
      <c r="I86" s="56"/>
      <c r="Q86" s="56"/>
      <c r="T86" s="607"/>
    </row>
    <row r="87" spans="1:20">
      <c r="A87" s="257" t="s">
        <v>18</v>
      </c>
      <c r="B87" s="262" t="str">
        <f>'6-x'!AK375</f>
        <v/>
      </c>
      <c r="C87" s="262">
        <f>'6-x'!AL375</f>
        <v>0.35566093657379971</v>
      </c>
      <c r="D87" s="262">
        <f>'6-x'!AM375</f>
        <v>0.4005786135529098</v>
      </c>
      <c r="E87" s="262">
        <f>'6-x'!AN375</f>
        <v>0.37990713381173491</v>
      </c>
      <c r="F87" s="262">
        <f>'6-x'!AO375</f>
        <v>0.41570438799076215</v>
      </c>
      <c r="G87" s="262">
        <f>'6-x'!AP375</f>
        <v>0.36389366218538355</v>
      </c>
      <c r="H87" s="306">
        <f>'6-x'!AQ375</f>
        <v>0.37827943441877249</v>
      </c>
      <c r="I87" s="56"/>
      <c r="Q87" s="56"/>
    </row>
    <row r="88" spans="1:20">
      <c r="A88" s="257" t="s">
        <v>19</v>
      </c>
      <c r="B88" s="262" t="str">
        <f>'6-x'!AK376</f>
        <v/>
      </c>
      <c r="C88" s="262">
        <f>'6-x'!AL376</f>
        <v>0.48966267682263337</v>
      </c>
      <c r="D88" s="262" t="str">
        <f>'6-x'!AM376</f>
        <v/>
      </c>
      <c r="E88" s="262">
        <f>'6-x'!AN376</f>
        <v>0.22771838825985202</v>
      </c>
      <c r="F88" s="262">
        <f>'6-x'!AO376</f>
        <v>0.27451578465761778</v>
      </c>
      <c r="G88" s="262">
        <f>'6-x'!AP376</f>
        <v>0.31816173221387545</v>
      </c>
      <c r="H88" s="306">
        <f>'6-x'!AQ376</f>
        <v>0.47482662939353737</v>
      </c>
      <c r="I88" s="56"/>
      <c r="Q88" s="56"/>
    </row>
    <row r="89" spans="1:20">
      <c r="A89" s="257" t="s">
        <v>20</v>
      </c>
      <c r="B89" s="262">
        <f>'6-x'!AK377</f>
        <v>0.37590059517594238</v>
      </c>
      <c r="C89" s="262">
        <f>'6-x'!AL377</f>
        <v>0.38030847242763577</v>
      </c>
      <c r="D89" s="262" t="str">
        <f>'6-x'!AM377</f>
        <v/>
      </c>
      <c r="E89" s="262">
        <f>'6-x'!AN377</f>
        <v>0.33060887133804762</v>
      </c>
      <c r="F89" s="262">
        <f>'6-x'!AO377</f>
        <v>0.26083176351253445</v>
      </c>
      <c r="G89" s="262">
        <f>'6-x'!AP377</f>
        <v>0.3974826101358066</v>
      </c>
      <c r="H89" s="306">
        <f>'6-x'!AQ377</f>
        <v>0.34742862861427704</v>
      </c>
      <c r="I89" s="56"/>
      <c r="Q89" s="56"/>
    </row>
    <row r="90" spans="1:20">
      <c r="A90" s="257" t="s">
        <v>21</v>
      </c>
      <c r="B90" s="262" t="str">
        <f>'6-x'!AK378</f>
        <v/>
      </c>
      <c r="C90" s="262">
        <f>'6-x'!AL378</f>
        <v>0.53460053460053458</v>
      </c>
      <c r="D90" s="262" t="str">
        <f>'6-x'!AM378</f>
        <v/>
      </c>
      <c r="E90" s="262">
        <f>'6-x'!AN378</f>
        <v>0.43966780654616511</v>
      </c>
      <c r="F90" s="262">
        <f>'6-x'!AO378</f>
        <v>0.46662346079066758</v>
      </c>
      <c r="G90" s="262">
        <f>'6-x'!AP378</f>
        <v>0.40022234574763765</v>
      </c>
      <c r="H90" s="306">
        <f>'6-x'!AQ378</f>
        <v>0.53230552880865201</v>
      </c>
      <c r="I90" s="56"/>
      <c r="Q90" s="56"/>
    </row>
    <row r="91" spans="1:20">
      <c r="A91" s="257" t="s">
        <v>23</v>
      </c>
      <c r="B91" s="262" t="str">
        <f>'6-x'!AK379</f>
        <v/>
      </c>
      <c r="C91" s="262" t="str">
        <f>'6-x'!AL379</f>
        <v/>
      </c>
      <c r="D91" s="262" t="str">
        <f>'6-x'!AM379</f>
        <v/>
      </c>
      <c r="E91" s="262" t="str">
        <f>'6-x'!AN379</f>
        <v/>
      </c>
      <c r="F91" s="262" t="str">
        <f>'6-x'!AO379</f>
        <v/>
      </c>
      <c r="G91" s="262" t="str">
        <f>'6-x'!AP379</f>
        <v/>
      </c>
      <c r="H91" s="306" t="str">
        <f>'6-x'!AQ379</f>
        <v/>
      </c>
      <c r="I91" s="56"/>
      <c r="Q91" s="56"/>
    </row>
    <row r="92" spans="1:20">
      <c r="A92" s="257" t="s">
        <v>388</v>
      </c>
      <c r="B92" s="262" t="str">
        <f>'6-x'!AK380</f>
        <v/>
      </c>
      <c r="C92" s="262" t="str">
        <f>'6-x'!AL380</f>
        <v/>
      </c>
      <c r="D92" s="262" t="str">
        <f>'6-x'!AM380</f>
        <v/>
      </c>
      <c r="E92" s="262" t="str">
        <f>'6-x'!AN380</f>
        <v/>
      </c>
      <c r="F92" s="262" t="str">
        <f>'6-x'!AO380</f>
        <v/>
      </c>
      <c r="G92" s="262" t="str">
        <f>'6-x'!AP380</f>
        <v/>
      </c>
      <c r="H92" s="306" t="str">
        <f>'6-x'!AQ380</f>
        <v/>
      </c>
      <c r="I92" s="56"/>
      <c r="Q92" s="56"/>
    </row>
    <row r="93" spans="1:20">
      <c r="A93" s="258" t="s">
        <v>287</v>
      </c>
      <c r="B93" s="306">
        <f>'6-x'!AK381</f>
        <v>0.81020360768923683</v>
      </c>
      <c r="C93" s="306">
        <f>'6-x'!AL381</f>
        <v>0.58627504174390355</v>
      </c>
      <c r="D93" s="306">
        <f>'6-x'!AM381</f>
        <v>0.43075032690925946</v>
      </c>
      <c r="E93" s="306">
        <f>'6-x'!AN381</f>
        <v>0.57784829675368732</v>
      </c>
      <c r="F93" s="306">
        <f>'6-x'!AO381</f>
        <v>0.43654604525157109</v>
      </c>
      <c r="G93" s="306">
        <f>'6-x'!AP381</f>
        <v>0.48988695579779284</v>
      </c>
      <c r="H93" s="306">
        <f>'6-x'!AQ381</f>
        <v>0.55326575775783293</v>
      </c>
      <c r="I93" s="56"/>
      <c r="J93" s="306">
        <f>'6-x'!AK397</f>
        <v>0.8716265470997564</v>
      </c>
      <c r="K93" s="306">
        <f>'6-x'!AL397</f>
        <v>0.65715776132749315</v>
      </c>
      <c r="L93" s="306">
        <f>'6-x'!AM397</f>
        <v>0.5263431614567442</v>
      </c>
      <c r="M93" s="306">
        <f>'6-x'!AN397</f>
        <v>0.76721876955955426</v>
      </c>
      <c r="N93" s="306">
        <f>'6-x'!AO397</f>
        <v>0.57223150615105289</v>
      </c>
      <c r="O93" s="306">
        <f>'6-x'!AP397</f>
        <v>0.58785730065437569</v>
      </c>
      <c r="P93" s="306">
        <f>'6-x'!AQ397</f>
        <v>0.64025422556058487</v>
      </c>
      <c r="Q93" s="56"/>
      <c r="T93" s="607"/>
    </row>
    <row r="94" spans="1:20">
      <c r="A94" s="257" t="s">
        <v>25</v>
      </c>
      <c r="B94" s="262" t="str">
        <f>'6-x'!AK382</f>
        <v/>
      </c>
      <c r="C94" s="262">
        <f>'6-x'!AL382</f>
        <v>0.62948067844028677</v>
      </c>
      <c r="D94" s="262">
        <f>'6-x'!AM382</f>
        <v>0.54265902924329212</v>
      </c>
      <c r="E94" s="262">
        <f>'6-x'!AN382</f>
        <v>0.53691275167785235</v>
      </c>
      <c r="F94" s="262">
        <f>'6-x'!AO382</f>
        <v>0.48160535117056863</v>
      </c>
      <c r="G94" s="262">
        <f>'6-x'!AP382</f>
        <v>0.48999591670069415</v>
      </c>
      <c r="H94" s="306">
        <f>'6-x'!AQ382</f>
        <v>0.56092436509767418</v>
      </c>
      <c r="I94" s="56"/>
      <c r="J94" s="262" t="str">
        <f>'6-x'!AK398</f>
        <v/>
      </c>
      <c r="K94" s="262">
        <f>'6-x'!AL398</f>
        <v>0.7239432786266955</v>
      </c>
      <c r="L94" s="262">
        <f>'6-x'!AM398</f>
        <v>0.65126192058156807</v>
      </c>
      <c r="M94" s="262">
        <f>'6-x'!AN398</f>
        <v>0.65469342278953169</v>
      </c>
      <c r="N94" s="262">
        <f>'6-x'!AO398</f>
        <v>0.63558088115567779</v>
      </c>
      <c r="O94" s="262">
        <f>'6-x'!AP398</f>
        <v>0.58779312250144378</v>
      </c>
      <c r="P94" s="306">
        <f>'6-x'!AQ398</f>
        <v>0.66863493535284724</v>
      </c>
      <c r="Q94" s="56"/>
    </row>
    <row r="95" spans="1:20">
      <c r="A95" s="257" t="s">
        <v>26</v>
      </c>
      <c r="B95" s="262" t="str">
        <f>'6-x'!AK383</f>
        <v/>
      </c>
      <c r="C95" s="262">
        <f>'6-x'!AL383</f>
        <v>0.61120543293718177</v>
      </c>
      <c r="D95" s="262" t="str">
        <f>'6-x'!AM383</f>
        <v/>
      </c>
      <c r="E95" s="262">
        <f>'6-x'!AN383</f>
        <v>0.65005417118093167</v>
      </c>
      <c r="F95" s="262">
        <f>'6-x'!AO383</f>
        <v>0.38893690579083839</v>
      </c>
      <c r="G95" s="262">
        <f>'6-x'!AP383</f>
        <v>0.56523787093735278</v>
      </c>
      <c r="H95" s="306">
        <f>'6-x'!AQ383</f>
        <v>0.61267699402670861</v>
      </c>
      <c r="I95" s="56"/>
      <c r="J95" s="262" t="str">
        <f>'6-x'!AK399</f>
        <v/>
      </c>
      <c r="K95" s="262">
        <f>'6-x'!AL399</f>
        <v>0.74475185462858717</v>
      </c>
      <c r="L95" s="262" t="str">
        <f>'6-x'!AM399</f>
        <v/>
      </c>
      <c r="M95" s="262">
        <f>'6-x'!AN399</f>
        <v>0.78564265747211215</v>
      </c>
      <c r="N95" s="262">
        <f>'6-x'!AO399</f>
        <v>0.73595042547513867</v>
      </c>
      <c r="O95" s="262">
        <f>'6-x'!AP399</f>
        <v>0.68443680137575236</v>
      </c>
      <c r="P95" s="306">
        <f>'6-x'!AQ399</f>
        <v>0.74802928000218782</v>
      </c>
      <c r="Q95" s="56"/>
    </row>
    <row r="96" spans="1:20">
      <c r="A96" s="257" t="s">
        <v>27</v>
      </c>
      <c r="B96" s="262" t="str">
        <f>'6-x'!AK384</f>
        <v/>
      </c>
      <c r="C96" s="262">
        <f>'6-x'!AL384</f>
        <v>0.58064516129032262</v>
      </c>
      <c r="D96" s="262">
        <f>'6-x'!AM384</f>
        <v>0.44171779141104295</v>
      </c>
      <c r="E96" s="262">
        <f>'6-x'!AN384</f>
        <v>0.55487053020961785</v>
      </c>
      <c r="F96" s="262">
        <f>'6-x'!AO384</f>
        <v>0.57215511760966309</v>
      </c>
      <c r="G96" s="262">
        <f>'6-x'!AP384</f>
        <v>0.47751691205730201</v>
      </c>
      <c r="H96" s="306">
        <f>'6-x'!AQ384</f>
        <v>0.57582803775659264</v>
      </c>
      <c r="I96" s="56"/>
      <c r="J96" s="262" t="str">
        <f>'6-x'!AK400</f>
        <v/>
      </c>
      <c r="K96" s="262">
        <f>'6-x'!AL400</f>
        <v>0.6333856353423033</v>
      </c>
      <c r="L96" s="262">
        <f>'6-x'!AM400</f>
        <v>0.54347524119387314</v>
      </c>
      <c r="M96" s="262">
        <f>'6-x'!AN400</f>
        <v>0.73921012665132635</v>
      </c>
      <c r="N96" s="262">
        <f>'6-x'!AO400</f>
        <v>0.60439620645804426</v>
      </c>
      <c r="O96" s="262">
        <f>'6-x'!AP400</f>
        <v>0.57580506476576143</v>
      </c>
      <c r="P96" s="306">
        <f>'6-x'!AQ400</f>
        <v>0.63223061146043902</v>
      </c>
      <c r="Q96" s="56"/>
    </row>
    <row r="97" spans="1:20">
      <c r="A97" s="257" t="s">
        <v>28</v>
      </c>
      <c r="B97" s="262">
        <f>'6-x'!AK385</f>
        <v>0.71656050955414019</v>
      </c>
      <c r="C97" s="262">
        <f>'6-x'!AL385</f>
        <v>0.7256601491634751</v>
      </c>
      <c r="D97" s="262" t="str">
        <f>'6-x'!AM385</f>
        <v/>
      </c>
      <c r="E97" s="262">
        <f>'6-x'!AN385</f>
        <v>0.74875207986688863</v>
      </c>
      <c r="F97" s="262">
        <f>'6-x'!AO385</f>
        <v>0.59741121805509456</v>
      </c>
      <c r="G97" s="262" t="str">
        <f>'6-x'!AP385</f>
        <v/>
      </c>
      <c r="H97" s="306">
        <f>'6-x'!AQ385</f>
        <v>0.66627754380985127</v>
      </c>
      <c r="I97" s="56"/>
      <c r="J97" s="262">
        <f>'6-x'!AK401</f>
        <v>0.82964519216729671</v>
      </c>
      <c r="K97" s="262">
        <f>'6-x'!AL401</f>
        <v>0.85122977388054022</v>
      </c>
      <c r="L97" s="262" t="str">
        <f>'6-x'!AM401</f>
        <v/>
      </c>
      <c r="M97" s="262">
        <f>'6-x'!AN401</f>
        <v>0.8695663971806572</v>
      </c>
      <c r="N97" s="262">
        <f>'6-x'!AO401</f>
        <v>0.76972272402362818</v>
      </c>
      <c r="O97" s="262" t="str">
        <f>'6-x'!AP401</f>
        <v/>
      </c>
      <c r="P97" s="306">
        <f>'6-x'!AQ401</f>
        <v>0.82403012852423407</v>
      </c>
      <c r="Q97" s="56"/>
    </row>
    <row r="98" spans="1:20">
      <c r="A98" s="257" t="s">
        <v>29</v>
      </c>
      <c r="B98" s="262">
        <f>'6-x'!AK386</f>
        <v>0.81892629663330307</v>
      </c>
      <c r="C98" s="262">
        <f>'6-x'!AL386</f>
        <v>0.39651944046701176</v>
      </c>
      <c r="D98" s="262">
        <f>'6-x'!AM386</f>
        <v>0.39482342618995392</v>
      </c>
      <c r="E98" s="262">
        <f>'6-x'!AN386</f>
        <v>0.50132293552430018</v>
      </c>
      <c r="F98" s="262">
        <f>'6-x'!AO386</f>
        <v>0.29505778214900419</v>
      </c>
      <c r="G98" s="262">
        <f>'6-x'!AP386</f>
        <v>0.35492457852706299</v>
      </c>
      <c r="H98" s="306">
        <f>'6-x'!AQ386</f>
        <v>0.32601785127824284</v>
      </c>
      <c r="I98" s="56"/>
      <c r="J98" s="262">
        <f>'6-x'!AK402</f>
        <v>0.87970281501779757</v>
      </c>
      <c r="K98" s="262">
        <f>'6-x'!AL402</f>
        <v>0.53831680851623709</v>
      </c>
      <c r="L98" s="262">
        <f>'6-x'!AM402</f>
        <v>0.47056177731950743</v>
      </c>
      <c r="M98" s="262">
        <f>'6-x'!AN402</f>
        <v>0.78412343158688813</v>
      </c>
      <c r="N98" s="262">
        <f>'6-x'!AO402</f>
        <v>0.5035532782290526</v>
      </c>
      <c r="O98" s="262">
        <f>'6-x'!AP402</f>
        <v>0.61641349001624146</v>
      </c>
      <c r="P98" s="306">
        <f>'6-x'!AQ402</f>
        <v>0.52481581183121828</v>
      </c>
      <c r="Q98" s="56"/>
    </row>
    <row r="99" spans="1:20">
      <c r="A99" s="257" t="s">
        <v>391</v>
      </c>
      <c r="B99" s="262" t="str">
        <f>'6-x'!AK387</f>
        <v/>
      </c>
      <c r="C99" s="262" t="str">
        <f>'6-x'!AL387</f>
        <v/>
      </c>
      <c r="D99" s="262" t="str">
        <f>'6-x'!AM387</f>
        <v/>
      </c>
      <c r="E99" s="262" t="str">
        <f>'6-x'!AN387</f>
        <v/>
      </c>
      <c r="F99" s="262" t="str">
        <f>'6-x'!AO387</f>
        <v/>
      </c>
      <c r="G99" s="262" t="str">
        <f>'6-x'!AP387</f>
        <v/>
      </c>
      <c r="H99" s="306" t="str">
        <f>'6-x'!AQ387</f>
        <v/>
      </c>
      <c r="I99" s="56"/>
      <c r="J99" s="262" t="str">
        <f>'6-x'!AK403</f>
        <v/>
      </c>
      <c r="K99" s="262">
        <f>'6-x'!AL403</f>
        <v>0.34393809114359414</v>
      </c>
      <c r="L99" s="262" t="str">
        <f>'6-x'!AM403</f>
        <v/>
      </c>
      <c r="M99" s="262" t="str">
        <f>'6-x'!AN403</f>
        <v/>
      </c>
      <c r="N99" s="262" t="str">
        <f>'6-x'!AO403</f>
        <v/>
      </c>
      <c r="O99" s="262">
        <f>'6-x'!AP403</f>
        <v>0.34393809114359414</v>
      </c>
      <c r="P99" s="306">
        <f>'6-x'!AQ403</f>
        <v>0.34393809114359414</v>
      </c>
      <c r="Q99" s="56"/>
    </row>
    <row r="100" spans="1:20">
      <c r="A100" s="368" t="s">
        <v>10</v>
      </c>
      <c r="B100" s="369">
        <f>'6-x'!AK388</f>
        <v>0.3773824045425504</v>
      </c>
      <c r="C100" s="369">
        <f>'6-x'!AL388</f>
        <v>0.56267871020328741</v>
      </c>
      <c r="D100" s="369">
        <f>'6-x'!AM388</f>
        <v>0.43036296940307606</v>
      </c>
      <c r="E100" s="369">
        <f>'6-x'!AN388</f>
        <v>0.46077804396970418</v>
      </c>
      <c r="F100" s="369">
        <f>'6-x'!AO388</f>
        <v>0.38384242063038293</v>
      </c>
      <c r="G100" s="369">
        <f>'6-x'!AP388</f>
        <v>0.43652943719332088</v>
      </c>
      <c r="H100" s="369">
        <f>'6-x'!AQ388</f>
        <v>0.50417691071101522</v>
      </c>
      <c r="I100" s="56"/>
      <c r="J100" s="369">
        <f>'6-x'!AK404</f>
        <v>0.38339895535801788</v>
      </c>
      <c r="K100" s="369">
        <f>'6-x'!AL404</f>
        <v>0.61094816436827581</v>
      </c>
      <c r="L100" s="369">
        <f>'6-x'!AM404</f>
        <v>0.52505470917505914</v>
      </c>
      <c r="M100" s="369">
        <f>'6-x'!AN404</f>
        <v>0.64665903959440574</v>
      </c>
      <c r="N100" s="369">
        <f>'6-x'!AO404</f>
        <v>0.48308024669884042</v>
      </c>
      <c r="O100" s="369">
        <f>'6-x'!AP404</f>
        <v>0.50809992080802613</v>
      </c>
      <c r="P100" s="369">
        <f>'6-x'!AQ404</f>
        <v>0.56154418392351613</v>
      </c>
      <c r="Q100" s="56"/>
      <c r="R100" s="607"/>
      <c r="T100" s="607"/>
    </row>
    <row r="101" spans="1:20" ht="15.6">
      <c r="A101" s="47"/>
    </row>
    <row r="102" spans="1:20" ht="15.6">
      <c r="A102" s="47"/>
    </row>
    <row r="103" spans="1:20">
      <c r="B103" s="895" t="s">
        <v>11</v>
      </c>
      <c r="C103" s="895"/>
      <c r="D103" s="895"/>
      <c r="E103" s="895"/>
      <c r="F103" s="895"/>
      <c r="G103" s="895"/>
      <c r="H103" s="895"/>
      <c r="J103" s="895" t="s">
        <v>11</v>
      </c>
      <c r="K103" s="895"/>
      <c r="L103" s="895"/>
      <c r="M103" s="895"/>
      <c r="N103" s="895"/>
      <c r="O103" s="895"/>
      <c r="P103" s="895"/>
    </row>
    <row r="104" spans="1:20" ht="28.8">
      <c r="B104" s="281" t="s">
        <v>5</v>
      </c>
      <c r="C104" s="281" t="s">
        <v>64</v>
      </c>
      <c r="D104" s="281" t="s">
        <v>7</v>
      </c>
      <c r="E104" s="281" t="s">
        <v>8</v>
      </c>
      <c r="F104" s="281" t="s">
        <v>267</v>
      </c>
      <c r="G104" s="281" t="s">
        <v>268</v>
      </c>
      <c r="H104" s="281" t="s">
        <v>10</v>
      </c>
      <c r="J104" s="281" t="s">
        <v>5</v>
      </c>
      <c r="K104" s="281" t="s">
        <v>64</v>
      </c>
      <c r="L104" s="281" t="s">
        <v>7</v>
      </c>
      <c r="M104" s="281" t="s">
        <v>8</v>
      </c>
      <c r="N104" s="281" t="s">
        <v>267</v>
      </c>
      <c r="O104" s="281" t="s">
        <v>268</v>
      </c>
      <c r="P104" s="281" t="s">
        <v>10</v>
      </c>
    </row>
    <row r="105" spans="1:20">
      <c r="A105" s="283">
        <v>2018</v>
      </c>
      <c r="B105" s="896" t="s">
        <v>383</v>
      </c>
      <c r="C105" s="897"/>
      <c r="D105" s="897"/>
      <c r="E105" s="897"/>
      <c r="F105" s="897"/>
      <c r="G105" s="897"/>
      <c r="H105" s="898"/>
      <c r="J105" s="896" t="s">
        <v>382</v>
      </c>
      <c r="K105" s="897"/>
      <c r="L105" s="897"/>
      <c r="M105" s="897"/>
      <c r="N105" s="897"/>
      <c r="O105" s="897"/>
      <c r="P105" s="898"/>
    </row>
    <row r="106" spans="1:20">
      <c r="A106" s="258" t="s">
        <v>286</v>
      </c>
      <c r="B106" s="306">
        <f>'6-x'!AK466</f>
        <v>0.3830194701563997</v>
      </c>
      <c r="C106" s="306">
        <f>'6-x'!AL466</f>
        <v>0.52905031259262292</v>
      </c>
      <c r="D106" s="306">
        <f>'6-x'!AM466</f>
        <v>0.3930131004366812</v>
      </c>
      <c r="E106" s="306">
        <f>'6-x'!AN466</f>
        <v>0.3361639686160463</v>
      </c>
      <c r="F106" s="306">
        <f>'6-x'!AO466</f>
        <v>0.31890282931871144</v>
      </c>
      <c r="G106" s="306">
        <f>'6-x'!AP466</f>
        <v>0.36789712092894955</v>
      </c>
      <c r="H106" s="306">
        <f>'6-x'!AQ466</f>
        <v>0.4402408997796286</v>
      </c>
      <c r="I106" s="56"/>
    </row>
    <row r="107" spans="1:20">
      <c r="A107" s="257" t="s">
        <v>18</v>
      </c>
      <c r="B107" s="262" t="str">
        <f>'6-x'!AK467</f>
        <v/>
      </c>
      <c r="C107" s="262">
        <f>'6-x'!AL467</f>
        <v>0.3667855323484463</v>
      </c>
      <c r="D107" s="262">
        <f>'6-x'!AM467</f>
        <v>0.3930131004366812</v>
      </c>
      <c r="E107" s="262">
        <f>'6-x'!AN467</f>
        <v>0.37457080428675477</v>
      </c>
      <c r="F107" s="262">
        <f>'6-x'!AO467</f>
        <v>0.41412630852409987</v>
      </c>
      <c r="G107" s="262">
        <f>'6-x'!AP467</f>
        <v>0.36828644501278768</v>
      </c>
      <c r="H107" s="306">
        <f>'6-x'!AQ467</f>
        <v>0.38052508322198558</v>
      </c>
      <c r="I107" s="56"/>
    </row>
    <row r="108" spans="1:20">
      <c r="A108" s="257" t="s">
        <v>19</v>
      </c>
      <c r="B108" s="262" t="str">
        <f>'6-x'!AK468</f>
        <v/>
      </c>
      <c r="C108" s="262">
        <f>'6-x'!AL468</f>
        <v>0.32097004279600572</v>
      </c>
      <c r="D108" s="262" t="str">
        <f>'6-x'!AM468</f>
        <v/>
      </c>
      <c r="E108" s="262">
        <f>'6-x'!AN468</f>
        <v>0.23279875840662184</v>
      </c>
      <c r="F108" s="262">
        <f>'6-x'!AO468</f>
        <v>0.26857654431512978</v>
      </c>
      <c r="G108" s="262">
        <f>'6-x'!AP468</f>
        <v>0.31804929764113438</v>
      </c>
      <c r="H108" s="306">
        <f>'6-x'!AQ468</f>
        <v>0.31489451199737262</v>
      </c>
      <c r="I108" s="56"/>
    </row>
    <row r="109" spans="1:20">
      <c r="A109" s="257" t="s">
        <v>20</v>
      </c>
      <c r="B109" s="262">
        <f>'6-x'!AK469</f>
        <v>0.3830194701563997</v>
      </c>
      <c r="C109" s="262">
        <f>'6-x'!AL469</f>
        <v>0.40174087713424839</v>
      </c>
      <c r="D109" s="262" t="str">
        <f>'6-x'!AM469</f>
        <v/>
      </c>
      <c r="E109" s="262">
        <f>'6-x'!AN469</f>
        <v>0.33057851239669422</v>
      </c>
      <c r="F109" s="262">
        <f>'6-x'!AO469</f>
        <v>0.2682763246143528</v>
      </c>
      <c r="G109" s="262">
        <f>'6-x'!AP469</f>
        <v>0.39569136073862388</v>
      </c>
      <c r="H109" s="306">
        <f>'6-x'!AQ469</f>
        <v>0.36170445834430787</v>
      </c>
      <c r="I109" s="56"/>
    </row>
    <row r="110" spans="1:20">
      <c r="A110" s="257" t="s">
        <v>21</v>
      </c>
      <c r="B110" s="262" t="str">
        <f>'6-x'!AK470</f>
        <v/>
      </c>
      <c r="C110" s="262">
        <f>'6-x'!AL470</f>
        <v>0.5330174711282204</v>
      </c>
      <c r="D110" s="262" t="str">
        <f>'6-x'!AM470</f>
        <v/>
      </c>
      <c r="E110" s="262">
        <f>'6-x'!AN470</f>
        <v>0.4391314954867041</v>
      </c>
      <c r="F110" s="262">
        <f>'6-x'!AO470</f>
        <v>0.46583850931677018</v>
      </c>
      <c r="G110" s="262">
        <f>'6-x'!AP470</f>
        <v>0.4001778568252557</v>
      </c>
      <c r="H110" s="306">
        <f>'6-x'!AQ470</f>
        <v>0.53040469611726682</v>
      </c>
      <c r="I110" s="56"/>
    </row>
    <row r="111" spans="1:20">
      <c r="A111" s="257" t="s">
        <v>23</v>
      </c>
      <c r="B111" s="262" t="str">
        <f>'6-x'!AK471</f>
        <v/>
      </c>
      <c r="C111" s="262" t="str">
        <f>'6-x'!AL471</f>
        <v/>
      </c>
      <c r="D111" s="262" t="str">
        <f>'6-x'!AM471</f>
        <v/>
      </c>
      <c r="E111" s="262" t="str">
        <f>'6-x'!AN471</f>
        <v/>
      </c>
      <c r="F111" s="262" t="str">
        <f>'6-x'!AO471</f>
        <v/>
      </c>
      <c r="G111" s="262" t="str">
        <f>'6-x'!AP471</f>
        <v/>
      </c>
      <c r="H111" s="306" t="str">
        <f>'6-x'!AQ471</f>
        <v/>
      </c>
      <c r="I111" s="56"/>
    </row>
    <row r="112" spans="1:20">
      <c r="A112" s="257" t="s">
        <v>388</v>
      </c>
      <c r="B112" s="262" t="str">
        <f>'6-x'!AK472</f>
        <v/>
      </c>
      <c r="C112" s="262" t="str">
        <f>'6-x'!AL472</f>
        <v/>
      </c>
      <c r="D112" s="262" t="str">
        <f>'6-x'!AM472</f>
        <v/>
      </c>
      <c r="E112" s="262" t="str">
        <f>'6-x'!AN472</f>
        <v/>
      </c>
      <c r="F112" s="262" t="str">
        <f>'6-x'!AO472</f>
        <v/>
      </c>
      <c r="G112" s="262" t="str">
        <f>'6-x'!AP472</f>
        <v/>
      </c>
      <c r="H112" s="306" t="str">
        <f>'6-x'!AQ472</f>
        <v/>
      </c>
      <c r="I112" s="56"/>
    </row>
    <row r="113" spans="1:20">
      <c r="A113" s="258" t="s">
        <v>287</v>
      </c>
      <c r="B113" s="306">
        <f>'6-x'!AK473</f>
        <v>0.80861057727977359</v>
      </c>
      <c r="C113" s="306">
        <f>'6-x'!AL473</f>
        <v>0.58604936860343371</v>
      </c>
      <c r="D113" s="306">
        <f>'6-x'!AM473</f>
        <v>0.38961189866726992</v>
      </c>
      <c r="E113" s="306">
        <f>'6-x'!AN473</f>
        <v>0.58075531623902177</v>
      </c>
      <c r="F113" s="306">
        <f>'6-x'!AO473</f>
        <v>0.44811047589798375</v>
      </c>
      <c r="G113" s="306">
        <f>'6-x'!AP473</f>
        <v>0.51065335617645435</v>
      </c>
      <c r="H113" s="306">
        <f>'6-x'!AQ473</f>
        <v>0.55320590343918397</v>
      </c>
      <c r="I113" s="56"/>
      <c r="J113" s="306">
        <f>'6-x'!AK489</f>
        <v>0.87205580356855106</v>
      </c>
      <c r="K113" s="306">
        <f>'6-x'!AL489</f>
        <v>0.65860959392184415</v>
      </c>
      <c r="L113" s="306">
        <f>'6-x'!AM489</f>
        <v>0.44360248441475486</v>
      </c>
      <c r="M113" s="306">
        <f>'6-x'!AN489</f>
        <v>0.7732525904934342</v>
      </c>
      <c r="N113" s="306">
        <f>'6-x'!AO489</f>
        <v>0.58534041748093124</v>
      </c>
      <c r="O113" s="306">
        <f>'6-x'!AP489</f>
        <v>0.58904053772096987</v>
      </c>
      <c r="P113" s="306">
        <f>'6-x'!AQ489</f>
        <v>0.64090408491407458</v>
      </c>
      <c r="S113" s="477"/>
      <c r="T113" s="478"/>
    </row>
    <row r="114" spans="1:20">
      <c r="A114" s="257" t="s">
        <v>25</v>
      </c>
      <c r="B114" s="262" t="str">
        <f>'6-x'!AK474</f>
        <v/>
      </c>
      <c r="C114" s="262">
        <f>'6-x'!AL474</f>
        <v>0.634920634920635</v>
      </c>
      <c r="D114" s="262">
        <f>'6-x'!AM474</f>
        <v>0.51071073911193077</v>
      </c>
      <c r="E114" s="262">
        <f>'6-x'!AN474</f>
        <v>0.55581287633163501</v>
      </c>
      <c r="F114" s="262">
        <f>'6-x'!AO474</f>
        <v>0.48309178743961351</v>
      </c>
      <c r="G114" s="262">
        <f>'6-x'!AP474</f>
        <v>0.51100070972320799</v>
      </c>
      <c r="H114" s="306">
        <f>'6-x'!AQ474</f>
        <v>0.57063024347946756</v>
      </c>
      <c r="I114" s="56"/>
      <c r="J114" s="262" t="str">
        <f>'6-x'!AK490</f>
        <v/>
      </c>
      <c r="K114" s="262">
        <f>'6-x'!AL490</f>
        <v>0.72981142039219671</v>
      </c>
      <c r="L114" s="262">
        <f>'6-x'!AM490</f>
        <v>0.61275026226390994</v>
      </c>
      <c r="M114" s="262">
        <f>'6-x'!AN490</f>
        <v>0.69061111168664335</v>
      </c>
      <c r="N114" s="262">
        <f>'6-x'!AO490</f>
        <v>0.65584430859968879</v>
      </c>
      <c r="O114" s="262">
        <f>'6-x'!AP490</f>
        <v>0.58867737811218113</v>
      </c>
      <c r="P114" s="306">
        <f>'6-x'!AQ490</f>
        <v>0.67540867172773611</v>
      </c>
      <c r="S114" s="477"/>
      <c r="T114" s="478"/>
    </row>
    <row r="115" spans="1:20">
      <c r="A115" s="257" t="s">
        <v>26</v>
      </c>
      <c r="B115" s="262" t="str">
        <f>'6-x'!AK475</f>
        <v/>
      </c>
      <c r="C115" s="262">
        <f>'6-x'!AL475</f>
        <v>0.59356966199505357</v>
      </c>
      <c r="D115" s="262" t="str">
        <f>'6-x'!AM475</f>
        <v/>
      </c>
      <c r="E115" s="262">
        <f>'6-x'!AN475</f>
        <v>0.72420036210018113</v>
      </c>
      <c r="F115" s="262">
        <f>'6-x'!AO475</f>
        <v>0.38643194504079009</v>
      </c>
      <c r="G115" s="262">
        <f>'6-x'!AP475</f>
        <v>0.55469953775038527</v>
      </c>
      <c r="H115" s="306">
        <f>'6-x'!AQ475</f>
        <v>0.59972823195790737</v>
      </c>
      <c r="I115" s="56"/>
      <c r="J115" s="262" t="str">
        <f>'6-x'!AK491</f>
        <v/>
      </c>
      <c r="K115" s="262">
        <f>'6-x'!AL491</f>
        <v>0.73539197727017835</v>
      </c>
      <c r="L115" s="262" t="str">
        <f>'6-x'!AM491</f>
        <v/>
      </c>
      <c r="M115" s="262">
        <f>'6-x'!AN491</f>
        <v>0.82358247567839526</v>
      </c>
      <c r="N115" s="262">
        <f>'6-x'!AO491</f>
        <v>0.74219383368136593</v>
      </c>
      <c r="O115" s="262">
        <f>'6-x'!AP491</f>
        <v>0.7104471195184866</v>
      </c>
      <c r="P115" s="306">
        <f>'6-x'!AQ491</f>
        <v>0.74140907629090191</v>
      </c>
      <c r="S115" s="477"/>
      <c r="T115" s="478"/>
    </row>
    <row r="116" spans="1:20">
      <c r="A116" s="257" t="s">
        <v>27</v>
      </c>
      <c r="B116" s="262">
        <f>'6-x'!AK476</f>
        <v>0.81892629663330296</v>
      </c>
      <c r="C116" s="262">
        <f>'6-x'!AL476</f>
        <v>0.58111380145278457</v>
      </c>
      <c r="D116" s="262">
        <f>'6-x'!AM476</f>
        <v>0.4044943820224719</v>
      </c>
      <c r="E116" s="262">
        <f>'6-x'!AN476</f>
        <v>0.55274067250115155</v>
      </c>
      <c r="F116" s="262">
        <f>'6-x'!AO476</f>
        <v>0.5761843790012805</v>
      </c>
      <c r="G116" s="262">
        <f>'6-x'!AP476</f>
        <v>0.48497911895460055</v>
      </c>
      <c r="H116" s="306">
        <f>'6-x'!AQ476</f>
        <v>0.57567780127558177</v>
      </c>
      <c r="I116" s="56"/>
      <c r="J116" s="262">
        <f>'6-x'!AK492</f>
        <v>0.87962324002886061</v>
      </c>
      <c r="K116" s="262">
        <f>'6-x'!AL492</f>
        <v>0.63606393377766646</v>
      </c>
      <c r="L116" s="262">
        <f>'6-x'!AM492</f>
        <v>0.47405769501905365</v>
      </c>
      <c r="M116" s="262">
        <f>'6-x'!AN492</f>
        <v>0.74222324890309133</v>
      </c>
      <c r="N116" s="262">
        <f>'6-x'!AO492</f>
        <v>0.6099306321782817</v>
      </c>
      <c r="O116" s="262">
        <f>'6-x'!AP492</f>
        <v>0.58417611814000459</v>
      </c>
      <c r="P116" s="306">
        <f>'6-x'!AQ492</f>
        <v>0.63418459133939808</v>
      </c>
      <c r="S116" s="477"/>
      <c r="T116" s="478"/>
    </row>
    <row r="117" spans="1:20">
      <c r="A117" s="257" t="s">
        <v>28</v>
      </c>
      <c r="B117" s="262">
        <f>'6-x'!AK477</f>
        <v>0.71656050955414019</v>
      </c>
      <c r="C117" s="262">
        <f>'6-x'!AL477</f>
        <v>0.72202166064981954</v>
      </c>
      <c r="D117" s="262" t="str">
        <f>'6-x'!AM477</f>
        <v/>
      </c>
      <c r="E117" s="262">
        <f>'6-x'!AN477</f>
        <v>0.7569386038687973</v>
      </c>
      <c r="F117" s="262">
        <f>'6-x'!AO477</f>
        <v>0.59026069847515983</v>
      </c>
      <c r="G117" s="262" t="str">
        <f>'6-x'!AP477</f>
        <v/>
      </c>
      <c r="H117" s="306">
        <f>'6-x'!AQ477</f>
        <v>0.65991950925639475</v>
      </c>
      <c r="I117" s="56"/>
      <c r="J117" s="262">
        <f>'6-x'!AK493</f>
        <v>0.83756090570363995</v>
      </c>
      <c r="K117" s="262">
        <f>'6-x'!AL493</f>
        <v>0.85143302252170139</v>
      </c>
      <c r="L117" s="262" t="str">
        <f>'6-x'!AM493</f>
        <v/>
      </c>
      <c r="M117" s="262">
        <f>'6-x'!AN493</f>
        <v>0.87496649816405703</v>
      </c>
      <c r="N117" s="262">
        <f>'6-x'!AO493</f>
        <v>0.75738441359880482</v>
      </c>
      <c r="O117" s="262" t="str">
        <f>'6-x'!AP493</f>
        <v/>
      </c>
      <c r="P117" s="306">
        <f>'6-x'!AQ493</f>
        <v>0.8227060315484348</v>
      </c>
      <c r="S117" s="477"/>
      <c r="T117" s="478"/>
    </row>
    <row r="118" spans="1:20">
      <c r="A118" s="257" t="s">
        <v>29</v>
      </c>
      <c r="B118" s="262" t="str">
        <f>'6-x'!AK478</f>
        <v/>
      </c>
      <c r="C118" s="262">
        <f>'6-x'!AL478</f>
        <v>0.37878787878787878</v>
      </c>
      <c r="D118" s="262">
        <f>'6-x'!AM478</f>
        <v>0.3563298030288034</v>
      </c>
      <c r="E118" s="262">
        <f>'6-x'!AN478</f>
        <v>0.5022321428571429</v>
      </c>
      <c r="F118" s="262">
        <f>'6-x'!AO478</f>
        <v>0.29685825018553641</v>
      </c>
      <c r="G118" s="262">
        <f>'6-x'!AP478</f>
        <v>0.36930652441526468</v>
      </c>
      <c r="H118" s="306">
        <f>'6-x'!AQ478</f>
        <v>0.31883049543096498</v>
      </c>
      <c r="I118" s="56"/>
      <c r="J118" s="262" t="str">
        <f>'6-x'!AK494</f>
        <v/>
      </c>
      <c r="K118" s="262">
        <f>'6-x'!AL494</f>
        <v>0.51003865113246472</v>
      </c>
      <c r="L118" s="262">
        <f>'6-x'!AM494</f>
        <v>0.37335582159313879</v>
      </c>
      <c r="M118" s="262">
        <f>'6-x'!AN494</f>
        <v>0.77958704084848429</v>
      </c>
      <c r="N118" s="262">
        <f>'6-x'!AO494</f>
        <v>0.52296108195851843</v>
      </c>
      <c r="O118" s="262">
        <f>'6-x'!AP494</f>
        <v>0.67014477934512329</v>
      </c>
      <c r="P118" s="306">
        <f>'6-x'!AQ494</f>
        <v>0.51918447857185523</v>
      </c>
      <c r="S118" s="477"/>
      <c r="T118" s="478"/>
    </row>
    <row r="119" spans="1:20">
      <c r="A119" s="257" t="s">
        <v>391</v>
      </c>
      <c r="B119" s="262" t="str">
        <f>'6-x'!AK479</f>
        <v/>
      </c>
      <c r="C119" s="262" t="str">
        <f>'6-x'!AL479</f>
        <v/>
      </c>
      <c r="D119" s="262" t="str">
        <f>'6-x'!AM479</f>
        <v/>
      </c>
      <c r="E119" s="262" t="str">
        <f>'6-x'!AN479</f>
        <v/>
      </c>
      <c r="F119" s="262" t="str">
        <f>'6-x'!AO479</f>
        <v/>
      </c>
      <c r="G119" s="262" t="str">
        <f>'6-x'!AP479</f>
        <v/>
      </c>
      <c r="H119" s="306" t="str">
        <f>'6-x'!AQ479</f>
        <v/>
      </c>
      <c r="I119" s="56"/>
      <c r="J119" s="262" t="str">
        <f>'6-x'!AK495</f>
        <v/>
      </c>
      <c r="K119" s="262" t="str">
        <f>'6-x'!AL495</f>
        <v/>
      </c>
      <c r="L119" s="262" t="str">
        <f>'6-x'!AM495</f>
        <v/>
      </c>
      <c r="M119" s="262" t="str">
        <f>'6-x'!AN495</f>
        <v/>
      </c>
      <c r="N119" s="262" t="str">
        <f>'6-x'!AO495</f>
        <v/>
      </c>
      <c r="O119" s="262" t="str">
        <f>'6-x'!AP495</f>
        <v/>
      </c>
      <c r="P119" s="306" t="str">
        <f>'6-x'!AQ495</f>
        <v/>
      </c>
    </row>
    <row r="120" spans="1:20">
      <c r="A120" s="368" t="s">
        <v>10</v>
      </c>
      <c r="B120" s="369">
        <f>'6-x'!AK480</f>
        <v>0.38399087836400086</v>
      </c>
      <c r="C120" s="369">
        <f>'6-x'!AL480</f>
        <v>0.56364885423252753</v>
      </c>
      <c r="D120" s="369">
        <f>'6-x'!AM480</f>
        <v>0.38964906913018099</v>
      </c>
      <c r="E120" s="369">
        <f>'6-x'!AN480</f>
        <v>0.46272690442866105</v>
      </c>
      <c r="F120" s="369">
        <f>'6-x'!AO480</f>
        <v>0.39252910966064464</v>
      </c>
      <c r="G120" s="369">
        <f>'6-x'!AP480</f>
        <v>0.44901503801731968</v>
      </c>
      <c r="H120" s="369">
        <f>'6-x'!AQ480</f>
        <v>0.49549506979407365</v>
      </c>
      <c r="I120" s="56"/>
      <c r="J120" s="369">
        <f>'6-x'!AK496</f>
        <v>0.38809456440291612</v>
      </c>
      <c r="K120" s="369">
        <f>'6-x'!AL496</f>
        <v>0.61572367041554166</v>
      </c>
      <c r="L120" s="369">
        <f>'6-x'!AM496</f>
        <v>0.443107590545399</v>
      </c>
      <c r="M120" s="369">
        <f>'6-x'!AN496</f>
        <v>0.65493272317354401</v>
      </c>
      <c r="N120" s="369">
        <f>'6-x'!AO496</f>
        <v>0.49541365752719674</v>
      </c>
      <c r="O120" s="369">
        <f>'6-x'!AP496</f>
        <v>0.50605708309727992</v>
      </c>
      <c r="P120" s="369">
        <f>'6-x'!AQ496</f>
        <v>0.55350925897841763</v>
      </c>
      <c r="S120" s="477"/>
      <c r="T120" s="478"/>
    </row>
    <row r="121" spans="1:20" ht="15.6">
      <c r="A121" s="47"/>
    </row>
    <row r="122" spans="1:20" ht="15.6">
      <c r="A122" s="47"/>
    </row>
    <row r="123" spans="1:20">
      <c r="B123" s="895" t="s">
        <v>11</v>
      </c>
      <c r="C123" s="895"/>
      <c r="D123" s="895"/>
      <c r="E123" s="895"/>
      <c r="F123" s="895"/>
      <c r="G123" s="895"/>
      <c r="H123" s="895"/>
      <c r="J123" s="895" t="s">
        <v>11</v>
      </c>
      <c r="K123" s="895"/>
      <c r="L123" s="895"/>
      <c r="M123" s="895"/>
      <c r="N123" s="895"/>
      <c r="O123" s="895"/>
      <c r="P123" s="895"/>
    </row>
    <row r="124" spans="1:20" ht="28.8">
      <c r="B124" s="281" t="s">
        <v>5</v>
      </c>
      <c r="C124" s="281" t="s">
        <v>64</v>
      </c>
      <c r="D124" s="281" t="s">
        <v>7</v>
      </c>
      <c r="E124" s="281" t="s">
        <v>8</v>
      </c>
      <c r="F124" s="281" t="s">
        <v>267</v>
      </c>
      <c r="G124" s="281" t="s">
        <v>268</v>
      </c>
      <c r="H124" s="281" t="s">
        <v>10</v>
      </c>
      <c r="J124" s="281" t="s">
        <v>5</v>
      </c>
      <c r="K124" s="281" t="s">
        <v>64</v>
      </c>
      <c r="L124" s="281" t="s">
        <v>7</v>
      </c>
      <c r="M124" s="281" t="s">
        <v>8</v>
      </c>
      <c r="N124" s="281" t="s">
        <v>267</v>
      </c>
      <c r="O124" s="281" t="s">
        <v>268</v>
      </c>
      <c r="P124" s="281" t="s">
        <v>10</v>
      </c>
    </row>
    <row r="125" spans="1:20">
      <c r="A125" s="283">
        <v>2017</v>
      </c>
      <c r="B125" s="896" t="s">
        <v>383</v>
      </c>
      <c r="C125" s="897"/>
      <c r="D125" s="897"/>
      <c r="E125" s="897"/>
      <c r="F125" s="897"/>
      <c r="G125" s="897"/>
      <c r="H125" s="898"/>
      <c r="J125" s="896" t="s">
        <v>382</v>
      </c>
      <c r="K125" s="897"/>
      <c r="L125" s="897"/>
      <c r="M125" s="897"/>
      <c r="N125" s="897"/>
      <c r="O125" s="897"/>
      <c r="P125" s="898"/>
    </row>
    <row r="126" spans="1:20">
      <c r="A126" s="258" t="s">
        <v>286</v>
      </c>
      <c r="B126" s="306">
        <f>'6-x'!AK558</f>
        <v>0.38762611307915107</v>
      </c>
      <c r="C126" s="306">
        <f>'6-x'!AL558</f>
        <v>0.53045547436097129</v>
      </c>
      <c r="D126" s="306">
        <f>'6-x'!AM558</f>
        <v>0.38560411311053983</v>
      </c>
      <c r="E126" s="306">
        <f>'6-x'!AN558</f>
        <v>0.34970777601018127</v>
      </c>
      <c r="F126" s="306">
        <f>'6-x'!AO558</f>
        <v>0.32296851350984079</v>
      </c>
      <c r="G126" s="306">
        <f>'6-x'!AP558</f>
        <v>0.36575563084504203</v>
      </c>
      <c r="H126" s="306">
        <f>'6-x'!AQ558</f>
        <v>0.44384809724387331</v>
      </c>
      <c r="I126" s="56"/>
      <c r="R126" s="56"/>
    </row>
    <row r="127" spans="1:20">
      <c r="A127" s="257" t="s">
        <v>18</v>
      </c>
      <c r="B127" s="262" t="str">
        <f>'6-x'!AK559</f>
        <v/>
      </c>
      <c r="C127" s="262">
        <f>'6-x'!AL559</f>
        <v>0.36836181315870253</v>
      </c>
      <c r="D127" s="262">
        <f>'6-x'!AM559</f>
        <v>0.38560411311053983</v>
      </c>
      <c r="E127" s="262">
        <f>'6-x'!AN559</f>
        <v>0.37578288100208768</v>
      </c>
      <c r="F127" s="262">
        <f>'6-x'!AO559</f>
        <v>0.40807073226025847</v>
      </c>
      <c r="G127" s="262">
        <f>'6-x'!AP559</f>
        <v>0.36622583926754837</v>
      </c>
      <c r="H127" s="306">
        <f>'6-x'!AQ559</f>
        <v>0.37710654081628192</v>
      </c>
      <c r="I127" s="56"/>
    </row>
    <row r="128" spans="1:20">
      <c r="A128" s="257" t="s">
        <v>19</v>
      </c>
      <c r="B128" s="262" t="str">
        <f>'6-x'!AK560</f>
        <v/>
      </c>
      <c r="C128" s="262">
        <f>'6-x'!AL560</f>
        <v>0.30328559393428817</v>
      </c>
      <c r="D128" s="262" t="str">
        <f>'6-x'!AM560</f>
        <v/>
      </c>
      <c r="E128" s="262">
        <f>'6-x'!AN560</f>
        <v>0.23307005049851093</v>
      </c>
      <c r="F128" s="262">
        <f>'6-x'!AO560</f>
        <v>0.26779736665922788</v>
      </c>
      <c r="G128" s="262">
        <f>'6-x'!AP560</f>
        <v>0.3183868400106129</v>
      </c>
      <c r="H128" s="306">
        <f>'6-x'!AQ560</f>
        <v>0.30209033194429119</v>
      </c>
      <c r="I128" s="56"/>
    </row>
    <row r="129" spans="1:19">
      <c r="A129" s="257" t="s">
        <v>20</v>
      </c>
      <c r="B129" s="262">
        <f>'6-x'!AK561</f>
        <v>0.38762611307915107</v>
      </c>
      <c r="C129" s="262">
        <f>'6-x'!AL561</f>
        <v>0.38560411311053983</v>
      </c>
      <c r="D129" s="262" t="str">
        <f>'6-x'!AM561</f>
        <v/>
      </c>
      <c r="E129" s="262">
        <f>'6-x'!AN561</f>
        <v>0.3472557152503134</v>
      </c>
      <c r="F129" s="262">
        <f>'6-x'!AO561</f>
        <v>0.26934011671405056</v>
      </c>
      <c r="G129" s="262">
        <f>'6-x'!AP561</f>
        <v>0.38818201423334059</v>
      </c>
      <c r="H129" s="306">
        <f>'6-x'!AQ561</f>
        <v>0.36747636980332687</v>
      </c>
      <c r="I129" s="56"/>
    </row>
    <row r="130" spans="1:19">
      <c r="A130" s="257" t="s">
        <v>21</v>
      </c>
      <c r="B130" s="262" t="str">
        <f>'6-x'!AK562</f>
        <v/>
      </c>
      <c r="C130" s="262">
        <f>'6-x'!AL562</f>
        <v>0.5372532925418797</v>
      </c>
      <c r="D130" s="262" t="str">
        <f>'6-x'!AM562</f>
        <v/>
      </c>
      <c r="E130" s="262">
        <f>'6-x'!AN562</f>
        <v>0.40830214358625383</v>
      </c>
      <c r="F130" s="262">
        <f>'6-x'!AO562</f>
        <v>0.47058823529411764</v>
      </c>
      <c r="G130" s="262">
        <f>'6-x'!AP562</f>
        <v>0.38634900193174504</v>
      </c>
      <c r="H130" s="306">
        <f>'6-x'!AQ562</f>
        <v>0.53445208379817011</v>
      </c>
      <c r="I130" s="56"/>
    </row>
    <row r="131" spans="1:19">
      <c r="A131" s="257" t="s">
        <v>23</v>
      </c>
      <c r="B131" s="262" t="str">
        <f>'6-x'!AK563</f>
        <v/>
      </c>
      <c r="C131" s="262" t="str">
        <f>'6-x'!AL563</f>
        <v/>
      </c>
      <c r="D131" s="262" t="str">
        <f>'6-x'!AM563</f>
        <v/>
      </c>
      <c r="E131" s="262" t="str">
        <f>'6-x'!AN563</f>
        <v/>
      </c>
      <c r="F131" s="262" t="str">
        <f>'6-x'!AO563</f>
        <v/>
      </c>
      <c r="G131" s="262" t="str">
        <f>'6-x'!AP563</f>
        <v/>
      </c>
      <c r="H131" s="306" t="str">
        <f>'6-x'!AQ563</f>
        <v/>
      </c>
      <c r="I131" s="56"/>
    </row>
    <row r="132" spans="1:19">
      <c r="A132" s="258" t="s">
        <v>287</v>
      </c>
      <c r="B132" s="306">
        <f>'6-x'!AK564</f>
        <v>0.80825516093452854</v>
      </c>
      <c r="C132" s="306">
        <f>'6-x'!AL564</f>
        <v>0.58539223377480842</v>
      </c>
      <c r="D132" s="306">
        <f>'6-x'!AM564</f>
        <v>0.42393776156024493</v>
      </c>
      <c r="E132" s="306">
        <f>'6-x'!AN564</f>
        <v>0.57490969168793682</v>
      </c>
      <c r="F132" s="306">
        <f>'6-x'!AO564</f>
        <v>0.44921732411086407</v>
      </c>
      <c r="G132" s="306">
        <f>'6-x'!AP564</f>
        <v>0.51083861447235146</v>
      </c>
      <c r="H132" s="306">
        <f>'6-x'!AQ564</f>
        <v>0.5564353680372448</v>
      </c>
      <c r="I132" s="56"/>
      <c r="J132" s="306">
        <f>'6-x'!AK581</f>
        <v>0.87212133141335757</v>
      </c>
      <c r="K132" s="306">
        <f>'6-x'!AL581</f>
        <v>0.65521506637731119</v>
      </c>
      <c r="L132" s="306">
        <f>'6-x'!AM581</f>
        <v>0.51245113706396572</v>
      </c>
      <c r="M132" s="306">
        <f>'6-x'!AN581</f>
        <v>0.77266115254102308</v>
      </c>
      <c r="N132" s="306">
        <f>'6-x'!AO581</f>
        <v>0.58849215960367185</v>
      </c>
      <c r="O132" s="306">
        <f>'6-x'!AP581</f>
        <v>0.59375475273571565</v>
      </c>
      <c r="P132" s="306">
        <f>'6-x'!AQ581</f>
        <v>0.64218209566148465</v>
      </c>
      <c r="R132" s="56"/>
      <c r="S132" s="56"/>
    </row>
    <row r="133" spans="1:19">
      <c r="A133" s="257" t="s">
        <v>25</v>
      </c>
      <c r="B133" s="262" t="str">
        <f>'6-x'!AK565</f>
        <v/>
      </c>
      <c r="C133" s="262">
        <f>'6-x'!AL565</f>
        <v>0.63536886692552053</v>
      </c>
      <c r="D133" s="262">
        <f>'6-x'!AM565</f>
        <v>0.53723324876884049</v>
      </c>
      <c r="E133" s="262">
        <f>'6-x'!AN565</f>
        <v>0.52348407735931368</v>
      </c>
      <c r="F133" s="262">
        <f>'6-x'!AO565</f>
        <v>0.47713717693836982</v>
      </c>
      <c r="G133" s="262">
        <f>'6-x'!AP565</f>
        <v>0.51121840386253914</v>
      </c>
      <c r="H133" s="306">
        <f>'6-x'!AQ565</f>
        <v>0.56895021577251936</v>
      </c>
      <c r="I133" s="56"/>
      <c r="J133" s="262" t="str">
        <f>'6-x'!AK582</f>
        <v/>
      </c>
      <c r="K133" s="262">
        <f>'6-x'!AL582</f>
        <v>0.72975406347549432</v>
      </c>
      <c r="L133" s="262">
        <f>'6-x'!AM582</f>
        <v>0.64065471472463942</v>
      </c>
      <c r="M133" s="262">
        <f>'6-x'!AN582</f>
        <v>0.64268545298209945</v>
      </c>
      <c r="N133" s="262">
        <f>'6-x'!AO582</f>
        <v>0.65172504854170754</v>
      </c>
      <c r="O133" s="262">
        <f>'6-x'!AP582</f>
        <v>0.59359028288555138</v>
      </c>
      <c r="P133" s="306">
        <f>'6-x'!AQ582</f>
        <v>0.67443766355758017</v>
      </c>
      <c r="S133" s="56"/>
    </row>
    <row r="134" spans="1:19">
      <c r="A134" s="257" t="s">
        <v>26</v>
      </c>
      <c r="B134" s="262" t="str">
        <f>'6-x'!AK566</f>
        <v/>
      </c>
      <c r="C134" s="262">
        <f>'6-x'!AL566</f>
        <v>0.59200789343857918</v>
      </c>
      <c r="D134" s="262" t="str">
        <f>'6-x'!AM566</f>
        <v/>
      </c>
      <c r="E134" s="262">
        <f>'6-x'!AN566</f>
        <v>0.71656050955414019</v>
      </c>
      <c r="F134" s="262">
        <f>'6-x'!AO566</f>
        <v>0.40026684456304207</v>
      </c>
      <c r="G134" s="262">
        <f>'6-x'!AP566</f>
        <v>0.49281314168377827</v>
      </c>
      <c r="H134" s="306">
        <f>'6-x'!AQ566</f>
        <v>0.60000849744866303</v>
      </c>
      <c r="I134" s="56"/>
      <c r="J134" s="262" t="str">
        <f>'6-x'!AK583</f>
        <v/>
      </c>
      <c r="K134" s="262">
        <f>'6-x'!AL583</f>
        <v>0.73372442054736065</v>
      </c>
      <c r="L134" s="262" t="str">
        <f>'6-x'!AM583</f>
        <v/>
      </c>
      <c r="M134" s="262">
        <f>'6-x'!AN583</f>
        <v>0.8271984164461551</v>
      </c>
      <c r="N134" s="262">
        <f>'6-x'!AO583</f>
        <v>0.70838440570059102</v>
      </c>
      <c r="O134" s="262">
        <f>'6-x'!AP583</f>
        <v>0.67630735558508559</v>
      </c>
      <c r="P134" s="306">
        <f>'6-x'!AQ583</f>
        <v>0.74230845641189425</v>
      </c>
      <c r="S134" s="56"/>
    </row>
    <row r="135" spans="1:19">
      <c r="A135" s="257" t="s">
        <v>27</v>
      </c>
      <c r="B135" s="262">
        <f>'6-x'!AK567</f>
        <v>0.81892629663330319</v>
      </c>
      <c r="C135" s="262">
        <f>'6-x'!AL567</f>
        <v>0.58113256279460201</v>
      </c>
      <c r="D135" s="262">
        <f>'6-x'!AM567</f>
        <v>0.44384169646159533</v>
      </c>
      <c r="E135" s="262">
        <f>'6-x'!AN567</f>
        <v>0.55546983490202129</v>
      </c>
      <c r="F135" s="262">
        <f>'6-x'!AO567</f>
        <v>0.5865102639296188</v>
      </c>
      <c r="G135" s="262">
        <f>'6-x'!AP567</f>
        <v>0.482573726541555</v>
      </c>
      <c r="H135" s="306">
        <f>'6-x'!AQ567</f>
        <v>0.57846122881918682</v>
      </c>
      <c r="I135" s="56"/>
      <c r="J135" s="262">
        <f>'6-x'!AK584</f>
        <v>0.88022609804773877</v>
      </c>
      <c r="K135" s="262">
        <f>'6-x'!AL584</f>
        <v>0.63385682815721711</v>
      </c>
      <c r="L135" s="262">
        <f>'6-x'!AM584</f>
        <v>0.55620841034537527</v>
      </c>
      <c r="M135" s="262">
        <f>'6-x'!AN584</f>
        <v>0.7396397406492069</v>
      </c>
      <c r="N135" s="262">
        <f>'6-x'!AO584</f>
        <v>0.62552503846132224</v>
      </c>
      <c r="O135" s="262">
        <f>'6-x'!AP584</f>
        <v>0.57881018916595006</v>
      </c>
      <c r="P135" s="306">
        <f>'6-x'!AQ584</f>
        <v>0.63544857750889228</v>
      </c>
      <c r="S135" s="56"/>
    </row>
    <row r="136" spans="1:19">
      <c r="A136" s="257" t="s">
        <v>28</v>
      </c>
      <c r="B136" s="262">
        <f>'6-x'!AK568</f>
        <v>0.71656050955414008</v>
      </c>
      <c r="C136" s="262">
        <f>'6-x'!AL568</f>
        <v>0.72683222289521499</v>
      </c>
      <c r="D136" s="262" t="str">
        <f>'6-x'!AM568</f>
        <v/>
      </c>
      <c r="E136" s="262">
        <f>'6-x'!AN568</f>
        <v>0.74766355140186902</v>
      </c>
      <c r="F136" s="262">
        <f>'6-x'!AO568</f>
        <v>0.61527943941206631</v>
      </c>
      <c r="G136" s="262" t="str">
        <f>'6-x'!AP568</f>
        <v/>
      </c>
      <c r="H136" s="306">
        <f>'6-x'!AQ568</f>
        <v>0.67439524389770522</v>
      </c>
      <c r="I136" s="56"/>
      <c r="J136" s="262">
        <f>'6-x'!AK585</f>
        <v>0.83611490915241815</v>
      </c>
      <c r="K136" s="262">
        <f>'6-x'!AL585</f>
        <v>0.85252093374465077</v>
      </c>
      <c r="L136" s="262" t="str">
        <f>'6-x'!AM585</f>
        <v/>
      </c>
      <c r="M136" s="262">
        <f>'6-x'!AN585</f>
        <v>0.87864747696200018</v>
      </c>
      <c r="N136" s="262">
        <f>'6-x'!AO585</f>
        <v>0.77486317084209599</v>
      </c>
      <c r="O136" s="262" t="str">
        <f>'6-x'!AP585</f>
        <v/>
      </c>
      <c r="P136" s="306">
        <f>'6-x'!AQ585</f>
        <v>0.829764013999575</v>
      </c>
      <c r="S136" s="56"/>
    </row>
    <row r="137" spans="1:19">
      <c r="A137" s="257" t="s">
        <v>29</v>
      </c>
      <c r="B137" s="262" t="str">
        <f>'6-x'!AK569</f>
        <v/>
      </c>
      <c r="C137" s="262">
        <f>'6-x'!AL569</f>
        <v>0.40413111809609342</v>
      </c>
      <c r="D137" s="262">
        <f>'6-x'!AM569</f>
        <v>0.38986354775828458</v>
      </c>
      <c r="E137" s="262">
        <f>'6-x'!AN569</f>
        <v>0.45813184016289132</v>
      </c>
      <c r="F137" s="262">
        <f>'6-x'!AO569</f>
        <v>0.29597961029351311</v>
      </c>
      <c r="G137" s="262">
        <f>'6-x'!AP569</f>
        <v>0.35946080878681974</v>
      </c>
      <c r="H137" s="306">
        <f>'6-x'!AQ569</f>
        <v>0.32680585946523932</v>
      </c>
      <c r="I137" s="56"/>
      <c r="J137" s="262" t="str">
        <f>'6-x'!AK586</f>
        <v/>
      </c>
      <c r="K137" s="262">
        <f>'6-x'!AL586</f>
        <v>0.55792058058480298</v>
      </c>
      <c r="L137" s="262">
        <f>'6-x'!AM586</f>
        <v>0.43516802221501766</v>
      </c>
      <c r="M137" s="262">
        <f>'6-x'!AN586</f>
        <v>0.76500746173808076</v>
      </c>
      <c r="N137" s="262">
        <f>'6-x'!AO586</f>
        <v>0.51909526543101903</v>
      </c>
      <c r="O137" s="262">
        <f>'6-x'!AP586</f>
        <v>0.66275641813045083</v>
      </c>
      <c r="P137" s="306">
        <f>'6-x'!AQ586</f>
        <v>0.5296534010398648</v>
      </c>
      <c r="S137" s="56"/>
    </row>
    <row r="138" spans="1:19">
      <c r="A138" s="368" t="s">
        <v>10</v>
      </c>
      <c r="B138" s="369">
        <f>'6-x'!AK570</f>
        <v>0.38848431913394182</v>
      </c>
      <c r="C138" s="369">
        <f>'6-x'!AL570</f>
        <v>0.56313217324516673</v>
      </c>
      <c r="D138" s="369">
        <f>'6-x'!AM570</f>
        <v>0.42341776524048841</v>
      </c>
      <c r="E138" s="369">
        <f>'6-x'!AN570</f>
        <v>0.44148361851354934</v>
      </c>
      <c r="F138" s="369">
        <f>'6-x'!AO570</f>
        <v>0.39289589491983606</v>
      </c>
      <c r="G138" s="369">
        <f>'6-x'!AP570</f>
        <v>0.44671199153562824</v>
      </c>
      <c r="H138" s="369">
        <f>'6-x'!AQ570</f>
        <v>0.49686739202130104</v>
      </c>
      <c r="I138" s="56"/>
      <c r="J138" s="369">
        <f>'6-x'!AK587</f>
        <v>0.39204926897185316</v>
      </c>
      <c r="K138" s="369">
        <f>'6-x'!AL587</f>
        <v>0.61217311073180647</v>
      </c>
      <c r="L138" s="369">
        <f>'6-x'!AM587</f>
        <v>0.51104730534580445</v>
      </c>
      <c r="M138" s="369">
        <f>'6-x'!AN587</f>
        <v>0.6194268339655884</v>
      </c>
      <c r="N138" s="369">
        <f>'6-x'!AO587</f>
        <v>0.49533079126723389</v>
      </c>
      <c r="O138" s="369">
        <f>'6-x'!AP587</f>
        <v>0.50673100075082855</v>
      </c>
      <c r="P138" s="369">
        <f>'6-x'!AQ587</f>
        <v>0.55198774642444726</v>
      </c>
      <c r="R138" s="56"/>
      <c r="S138" s="56"/>
    </row>
    <row r="139" spans="1:19" ht="15.6">
      <c r="A139" s="47"/>
    </row>
    <row r="140" spans="1:19" ht="15.6">
      <c r="A140" s="47"/>
    </row>
    <row r="141" spans="1:19">
      <c r="B141" s="895" t="s">
        <v>11</v>
      </c>
      <c r="C141" s="895"/>
      <c r="D141" s="895"/>
      <c r="E141" s="895"/>
      <c r="F141" s="895"/>
      <c r="G141" s="895"/>
      <c r="H141" s="895"/>
    </row>
    <row r="142" spans="1:19" ht="28.8">
      <c r="B142" s="281" t="s">
        <v>5</v>
      </c>
      <c r="C142" s="281" t="s">
        <v>64</v>
      </c>
      <c r="D142" s="281" t="s">
        <v>7</v>
      </c>
      <c r="E142" s="281" t="s">
        <v>8</v>
      </c>
      <c r="F142" s="281" t="s">
        <v>267</v>
      </c>
      <c r="G142" s="281" t="s">
        <v>268</v>
      </c>
      <c r="H142" s="281" t="s">
        <v>10</v>
      </c>
    </row>
    <row r="143" spans="1:19" ht="14.7" customHeight="1">
      <c r="A143" s="283">
        <v>2016</v>
      </c>
      <c r="B143" s="896" t="s">
        <v>383</v>
      </c>
      <c r="C143" s="897"/>
      <c r="D143" s="897"/>
      <c r="E143" s="897"/>
      <c r="F143" s="897"/>
      <c r="G143" s="897"/>
      <c r="H143" s="898"/>
    </row>
    <row r="144" spans="1:19">
      <c r="A144" s="258" t="s">
        <v>286</v>
      </c>
      <c r="B144" s="306">
        <f>'6-x'!AK643</f>
        <v>0.38154185302159954</v>
      </c>
      <c r="C144" s="306">
        <f>'6-x'!AL643</f>
        <v>0.52767694076486116</v>
      </c>
      <c r="D144" s="306">
        <f>'6-x'!AM643</f>
        <v>0.40336134453781514</v>
      </c>
      <c r="E144" s="306">
        <f>'6-x'!AN643</f>
        <v>0.3490246641844173</v>
      </c>
      <c r="F144" s="306">
        <f>'6-x'!AO643</f>
        <v>0.31640108174984594</v>
      </c>
      <c r="G144" s="306">
        <f>'6-x'!AP643</f>
        <v>0.36513987228126421</v>
      </c>
      <c r="H144" s="306">
        <f>'6-x'!AQ643</f>
        <v>0.42972653996244708</v>
      </c>
      <c r="I144" s="56"/>
      <c r="R144" s="56"/>
    </row>
    <row r="145" spans="1:19">
      <c r="A145" s="257" t="s">
        <v>18</v>
      </c>
      <c r="B145" s="262" t="str">
        <f>'6-x'!AK644</f>
        <v/>
      </c>
      <c r="C145" s="262">
        <f>'6-x'!AL644</f>
        <v>0.3624647603705195</v>
      </c>
      <c r="D145" s="262">
        <f>'6-x'!AM644</f>
        <v>0.40336134453781514</v>
      </c>
      <c r="E145" s="262">
        <f>'6-x'!AN644</f>
        <v>0.37340524841821388</v>
      </c>
      <c r="F145" s="262">
        <f>'6-x'!AO644</f>
        <v>0.40331615505265522</v>
      </c>
      <c r="G145" s="262">
        <f>'6-x'!AP644</f>
        <v>0.36563071297989036</v>
      </c>
      <c r="H145" s="306">
        <f>'6-x'!AQ644</f>
        <v>0.3753085525040285</v>
      </c>
      <c r="I145" s="56"/>
    </row>
    <row r="146" spans="1:19">
      <c r="A146" s="257" t="s">
        <v>19</v>
      </c>
      <c r="B146" s="262" t="str">
        <f>'6-x'!AK645</f>
        <v/>
      </c>
      <c r="C146" s="262">
        <f>'6-x'!AL645</f>
        <v>0.31457532331352672</v>
      </c>
      <c r="D146" s="262" t="str">
        <f>'6-x'!AM645</f>
        <v/>
      </c>
      <c r="E146" s="262">
        <f>'6-x'!AN645</f>
        <v>0.23774930656452253</v>
      </c>
      <c r="F146" s="262">
        <f>'6-x'!AO645</f>
        <v>0.2665679378008145</v>
      </c>
      <c r="G146" s="262">
        <f>'6-x'!AP645</f>
        <v>0.31676198856137261</v>
      </c>
      <c r="H146" s="306">
        <f>'6-x'!AQ645</f>
        <v>0.31158482190251491</v>
      </c>
      <c r="I146" s="56"/>
    </row>
    <row r="147" spans="1:19">
      <c r="A147" s="257" t="s">
        <v>20</v>
      </c>
      <c r="B147" s="262">
        <f>'6-x'!AK646</f>
        <v>0.38154185302159954</v>
      </c>
      <c r="C147" s="262">
        <f>'6-x'!AL646</f>
        <v>0.37771482530689326</v>
      </c>
      <c r="D147" s="262" t="str">
        <f>'6-x'!AM646</f>
        <v/>
      </c>
      <c r="E147" s="262">
        <f>'6-x'!AN646</f>
        <v>0.34575489819439109</v>
      </c>
      <c r="F147" s="262">
        <f>'6-x'!AO646</f>
        <v>0.25951557093425603</v>
      </c>
      <c r="G147" s="262">
        <f>'6-x'!AP646</f>
        <v>0.39867109634551501</v>
      </c>
      <c r="H147" s="306">
        <f>'6-x'!AQ646</f>
        <v>0.36165460088833196</v>
      </c>
      <c r="I147" s="56"/>
    </row>
    <row r="148" spans="1:19">
      <c r="A148" s="257" t="s">
        <v>21</v>
      </c>
      <c r="B148" s="262" t="str">
        <f>'6-x'!AK647</f>
        <v/>
      </c>
      <c r="C148" s="262">
        <f>'6-x'!AL647</f>
        <v>0.53369229081485925</v>
      </c>
      <c r="D148" s="262" t="str">
        <f>'6-x'!AM647</f>
        <v/>
      </c>
      <c r="E148" s="262">
        <f>'6-x'!AN647</f>
        <v>0.44887780548628431</v>
      </c>
      <c r="F148" s="262">
        <f>'6-x'!AO647</f>
        <v>0.47443331576172909</v>
      </c>
      <c r="G148" s="262">
        <f>'6-x'!AP647</f>
        <v>0.39867109634551501</v>
      </c>
      <c r="H148" s="306">
        <f>'6-x'!AQ647</f>
        <v>0.53053424848013619</v>
      </c>
      <c r="I148" s="56"/>
    </row>
    <row r="149" spans="1:19">
      <c r="A149" s="257" t="s">
        <v>23</v>
      </c>
      <c r="B149" s="262" t="str">
        <f>'6-x'!AK648</f>
        <v/>
      </c>
      <c r="C149" s="262" t="str">
        <f>'6-x'!AL648</f>
        <v/>
      </c>
      <c r="D149" s="262" t="str">
        <f>'6-x'!AM648</f>
        <v/>
      </c>
      <c r="E149" s="262" t="str">
        <f>'6-x'!AN648</f>
        <v/>
      </c>
      <c r="F149" s="262" t="str">
        <f>'6-x'!AO648</f>
        <v/>
      </c>
      <c r="G149" s="262" t="str">
        <f>'6-x'!AP648</f>
        <v/>
      </c>
      <c r="H149" s="306" t="str">
        <f>'6-x'!AQ648</f>
        <v/>
      </c>
      <c r="I149" s="56"/>
    </row>
    <row r="150" spans="1:19">
      <c r="A150" s="258" t="s">
        <v>287</v>
      </c>
      <c r="B150" s="306">
        <f>'6-x'!AK649</f>
        <v>0.80957381929844741</v>
      </c>
      <c r="C150" s="306">
        <f>'6-x'!AL649</f>
        <v>0.58832531075882899</v>
      </c>
      <c r="D150" s="306">
        <f>'6-x'!AM649</f>
        <v>0.42062998820750619</v>
      </c>
      <c r="E150" s="306">
        <f>'6-x'!AN649</f>
        <v>0.576621414215298</v>
      </c>
      <c r="F150" s="306">
        <f>'6-x'!AO649</f>
        <v>0.44983746368544653</v>
      </c>
      <c r="G150" s="306">
        <f>'6-x'!AP649</f>
        <v>0.51133952442076369</v>
      </c>
      <c r="H150" s="306">
        <f>'6-x'!AQ649</f>
        <v>0.55607243051807154</v>
      </c>
      <c r="I150" s="56"/>
      <c r="J150" s="306">
        <f>'6-x'!AK666</f>
        <v>0.87302996027330704</v>
      </c>
      <c r="K150" s="306">
        <f>'6-x'!AL666</f>
        <v>0.66083188389927594</v>
      </c>
      <c r="L150" s="306">
        <f>'6-x'!AM666</f>
        <v>0.51675267523434143</v>
      </c>
      <c r="M150" s="306">
        <f>'6-x'!AN666</f>
        <v>0.77481900816686866</v>
      </c>
      <c r="N150" s="306">
        <f>'6-x'!AO666</f>
        <v>0.58877864554212644</v>
      </c>
      <c r="O150" s="306">
        <f>'6-x'!AP666</f>
        <v>0.58049400495077441</v>
      </c>
      <c r="P150" s="306">
        <f>'6-x'!AQ666</f>
        <v>0.64466742449574543</v>
      </c>
      <c r="Q150" s="56"/>
      <c r="R150" s="56"/>
    </row>
    <row r="151" spans="1:19">
      <c r="A151" s="257" t="s">
        <v>25</v>
      </c>
      <c r="B151" s="262" t="str">
        <f>'6-x'!AK650</f>
        <v/>
      </c>
      <c r="C151" s="262">
        <f>'6-x'!AL650</f>
        <v>0.64400715563506261</v>
      </c>
      <c r="D151" s="262">
        <f>'6-x'!AM650</f>
        <v>0.46463603510583373</v>
      </c>
      <c r="E151" s="262">
        <f>'6-x'!AN650</f>
        <v>0.53317535545023698</v>
      </c>
      <c r="F151" s="262">
        <f>'6-x'!AO650</f>
        <v>0.47600158667195558</v>
      </c>
      <c r="G151" s="262">
        <f>'6-x'!AP650</f>
        <v>0.51179982940005686</v>
      </c>
      <c r="H151" s="306">
        <f>'6-x'!AQ650</f>
        <v>0.56886385315689703</v>
      </c>
      <c r="I151" s="56"/>
      <c r="J151" s="262" t="str">
        <f>'6-x'!AK667</f>
        <v/>
      </c>
      <c r="K151" s="262">
        <f>'6-x'!AL667</f>
        <v>0.73746314815561276</v>
      </c>
      <c r="L151" s="262">
        <f>'6-x'!AM667</f>
        <v>0.56810736092819736</v>
      </c>
      <c r="M151" s="262">
        <f>'6-x'!AN667</f>
        <v>0.63827386070507308</v>
      </c>
      <c r="N151" s="262">
        <f>'6-x'!AO667</f>
        <v>0.66622327711449958</v>
      </c>
      <c r="O151" s="262">
        <f>'6-x'!AP667</f>
        <v>0.58040115688267013</v>
      </c>
      <c r="P151" s="306">
        <f>'6-x'!AQ667</f>
        <v>0.67365580131595615</v>
      </c>
      <c r="Q151" s="56"/>
    </row>
    <row r="152" spans="1:19">
      <c r="A152" s="257" t="s">
        <v>26</v>
      </c>
      <c r="B152" s="262" t="str">
        <f>'6-x'!AK651</f>
        <v/>
      </c>
      <c r="C152" s="262">
        <f>'6-x'!AL651</f>
        <v>0.59494298463063955</v>
      </c>
      <c r="D152" s="262">
        <f>'6-x'!AM651</f>
        <v>0.73876462138313148</v>
      </c>
      <c r="E152" s="262">
        <f>'6-x'!AN651</f>
        <v>0.71756029499701024</v>
      </c>
      <c r="F152" s="262">
        <f>'6-x'!AO651</f>
        <v>0.41171088746569079</v>
      </c>
      <c r="G152" s="262">
        <f>'6-x'!AP651</f>
        <v>0.42933810375670844</v>
      </c>
      <c r="H152" s="306">
        <f>'6-x'!AQ651</f>
        <v>0.6026639988379755</v>
      </c>
      <c r="I152" s="56"/>
      <c r="J152" s="262" t="str">
        <f>'6-x'!AK668</f>
        <v/>
      </c>
      <c r="K152" s="262">
        <f>'6-x'!AL668</f>
        <v>0.73818018568805077</v>
      </c>
      <c r="L152" s="262" t="str">
        <f>'6-x'!AM668</f>
        <v/>
      </c>
      <c r="M152" s="262">
        <f>'6-x'!AN668</f>
        <v>0.82452386343531836</v>
      </c>
      <c r="N152" s="262">
        <f>'6-x'!AO668</f>
        <v>0.7216827800264245</v>
      </c>
      <c r="O152" s="262">
        <f>'6-x'!AP668</f>
        <v>0.57887426417091081</v>
      </c>
      <c r="P152" s="306">
        <f>'6-x'!AQ668</f>
        <v>0.74548154801674538</v>
      </c>
      <c r="Q152" s="56"/>
    </row>
    <row r="153" spans="1:19">
      <c r="A153" s="257" t="s">
        <v>27</v>
      </c>
      <c r="B153" s="262">
        <f>'6-x'!AK652</f>
        <v>0.81892629663330307</v>
      </c>
      <c r="C153" s="262">
        <f>'6-x'!AL652</f>
        <v>0.58302994182656798</v>
      </c>
      <c r="D153" s="262">
        <f>'6-x'!AM652</f>
        <v>0.44096031357177862</v>
      </c>
      <c r="E153" s="262">
        <f>'6-x'!AN652</f>
        <v>0.55393137405754733</v>
      </c>
      <c r="F153" s="262">
        <f>'6-x'!AO652</f>
        <v>0.58092625463934155</v>
      </c>
      <c r="G153" s="262">
        <f>'6-x'!AP652</f>
        <v>0.46966731898238745</v>
      </c>
      <c r="H153" s="306">
        <f>'6-x'!AQ652</f>
        <v>0.57912812448925544</v>
      </c>
      <c r="I153" s="56"/>
      <c r="J153" s="262">
        <f>'6-x'!AK669</f>
        <v>0.88017970293683512</v>
      </c>
      <c r="K153" s="262">
        <f>'6-x'!AL669</f>
        <v>0.63825801662794479</v>
      </c>
      <c r="L153" s="262">
        <f>'6-x'!AM669</f>
        <v>0.56511401797555383</v>
      </c>
      <c r="M153" s="262">
        <f>'6-x'!AN669</f>
        <v>0.73885352715285879</v>
      </c>
      <c r="N153" s="262">
        <f>'6-x'!AO669</f>
        <v>0.61762590449610733</v>
      </c>
      <c r="O153" s="262">
        <f>'6-x'!AP669</f>
        <v>0.56530046813795742</v>
      </c>
      <c r="P153" s="306">
        <f>'6-x'!AQ669</f>
        <v>0.63880654488871969</v>
      </c>
      <c r="Q153" s="56"/>
      <c r="S153" s="56"/>
    </row>
    <row r="154" spans="1:19">
      <c r="A154" s="257" t="s">
        <v>28</v>
      </c>
      <c r="B154" s="262">
        <f>'6-x'!AK653</f>
        <v>0.71656050955414019</v>
      </c>
      <c r="C154" s="262">
        <f>'6-x'!AL653</f>
        <v>0.72786089769510709</v>
      </c>
      <c r="D154" s="262" t="str">
        <f>'6-x'!AM653</f>
        <v/>
      </c>
      <c r="E154" s="262">
        <f>'6-x'!AN653</f>
        <v>0.69431051108968178</v>
      </c>
      <c r="F154" s="262">
        <f>'6-x'!AO653</f>
        <v>0.61707233459033262</v>
      </c>
      <c r="G154" s="262">
        <f>'6-x'!AP653</f>
        <v>0.72318200080353556</v>
      </c>
      <c r="H154" s="306">
        <f>'6-x'!AQ653</f>
        <v>0.67346883069327435</v>
      </c>
      <c r="I154" s="56"/>
      <c r="J154" s="262">
        <f>'6-x'!AK670</f>
        <v>0.83613459011340241</v>
      </c>
      <c r="K154" s="262">
        <f>'6-x'!AL670</f>
        <v>0.85203644557407443</v>
      </c>
      <c r="L154" s="262" t="str">
        <f>'6-x'!AM670</f>
        <v/>
      </c>
      <c r="M154" s="262">
        <f>'6-x'!AN670</f>
        <v>0.87345500130614218</v>
      </c>
      <c r="N154" s="262">
        <f>'6-x'!AO670</f>
        <v>0.77450887084599573</v>
      </c>
      <c r="O154" s="262">
        <f>'6-x'!AP670</f>
        <v>0.6859845227858985</v>
      </c>
      <c r="P154" s="306">
        <f>'6-x'!AQ670</f>
        <v>0.83073109585372651</v>
      </c>
      <c r="Q154" s="56"/>
    </row>
    <row r="155" spans="1:19">
      <c r="A155" s="257" t="s">
        <v>29</v>
      </c>
      <c r="B155" s="262" t="str">
        <f>'6-x'!AK654</f>
        <v/>
      </c>
      <c r="C155" s="262">
        <f>'6-x'!AL654</f>
        <v>0.41303350160624142</v>
      </c>
      <c r="D155" s="262">
        <f>'6-x'!AM654</f>
        <v>0.39686914342409885</v>
      </c>
      <c r="E155" s="262">
        <f>'6-x'!AN654</f>
        <v>0.47151277013752463</v>
      </c>
      <c r="F155" s="262">
        <f>'6-x'!AO654</f>
        <v>0.28753993610223638</v>
      </c>
      <c r="G155" s="262">
        <f>'6-x'!AP654</f>
        <v>0.35070628348757915</v>
      </c>
      <c r="H155" s="306">
        <f>'6-x'!AQ654</f>
        <v>0.32285792293946475</v>
      </c>
      <c r="I155" s="56"/>
      <c r="J155" s="262" t="str">
        <f>'6-x'!AK671</f>
        <v/>
      </c>
      <c r="K155" s="262">
        <f>'6-x'!AL671</f>
        <v>0.5859611229388304</v>
      </c>
      <c r="L155" s="262">
        <f>'6-x'!AM671</f>
        <v>0.45388855975786496</v>
      </c>
      <c r="M155" s="262">
        <f>'6-x'!AN671</f>
        <v>0.79190312410432795</v>
      </c>
      <c r="N155" s="262">
        <f>'6-x'!AO671</f>
        <v>0.51875220551346746</v>
      </c>
      <c r="O155" s="262">
        <f>'6-x'!AP671</f>
        <v>0.68018283024845005</v>
      </c>
      <c r="P155" s="306">
        <f>'6-x'!AQ671</f>
        <v>0.52962680280302576</v>
      </c>
      <c r="Q155" s="56"/>
    </row>
    <row r="156" spans="1:19">
      <c r="A156" s="368" t="s">
        <v>10</v>
      </c>
      <c r="B156" s="369">
        <f>'6-x'!AK655</f>
        <v>0.38232810513275212</v>
      </c>
      <c r="C156" s="369">
        <f>'6-x'!AL655</f>
        <v>0.56515959015870942</v>
      </c>
      <c r="D156" s="369">
        <f>'6-x'!AM655</f>
        <v>0.42040690699429761</v>
      </c>
      <c r="E156" s="369">
        <f>'6-x'!AN655</f>
        <v>0.44285310628389596</v>
      </c>
      <c r="F156" s="369">
        <f>'6-x'!AO655</f>
        <v>0.3890529129771787</v>
      </c>
      <c r="G156" s="369">
        <f>'6-x'!AP655</f>
        <v>0.44424507186248469</v>
      </c>
      <c r="H156" s="369">
        <f>'6-x'!AQ655</f>
        <v>0.48844484989063858</v>
      </c>
      <c r="I156" s="56"/>
      <c r="J156" s="369">
        <f>'6-x'!AK672</f>
        <v>0.38552442140619009</v>
      </c>
      <c r="K156" s="369">
        <f>'6-x'!AL672</f>
        <v>0.61820995445408622</v>
      </c>
      <c r="L156" s="369">
        <f>'6-x'!AM672</f>
        <v>0.51557868203741675</v>
      </c>
      <c r="M156" s="369">
        <f>'6-x'!AN672</f>
        <v>0.62348600559074885</v>
      </c>
      <c r="N156" s="369">
        <f>'6-x'!AO672</f>
        <v>0.49034101547085313</v>
      </c>
      <c r="O156" s="369">
        <f>'6-x'!AP672</f>
        <v>0.49423784620954292</v>
      </c>
      <c r="P156" s="369">
        <f>'6-x'!AQ672</f>
        <v>0.54624484187613487</v>
      </c>
      <c r="Q156" s="56"/>
      <c r="R156" s="56"/>
      <c r="S156" s="56"/>
    </row>
    <row r="159" spans="1:19" ht="14.7" customHeight="1">
      <c r="A159" s="283">
        <v>2015</v>
      </c>
      <c r="B159" s="896" t="s">
        <v>383</v>
      </c>
      <c r="C159" s="897"/>
      <c r="D159" s="897"/>
      <c r="E159" s="897"/>
      <c r="F159" s="897"/>
      <c r="G159" s="897"/>
      <c r="H159" s="898"/>
    </row>
    <row r="160" spans="1:19">
      <c r="A160" s="258" t="s">
        <v>286</v>
      </c>
      <c r="B160" s="306">
        <f>'6-x'!AK728</f>
        <v>0.3780272897900499</v>
      </c>
      <c r="C160" s="306">
        <f>'6-x'!AL728</f>
        <v>0.52606504804522303</v>
      </c>
      <c r="D160" s="306">
        <f>'6-x'!AM728</f>
        <v>0.402189699474919</v>
      </c>
      <c r="E160" s="306">
        <f>'6-x'!AN728</f>
        <v>0.35329421856504789</v>
      </c>
      <c r="F160" s="306">
        <f>'6-x'!AO728</f>
        <v>0.32128140197369714</v>
      </c>
      <c r="G160" s="306">
        <f>'6-x'!AP728</f>
        <v>0.36883600444390668</v>
      </c>
      <c r="H160" s="306">
        <f>'6-x'!AQ728</f>
        <v>0.41743143589913523</v>
      </c>
      <c r="I160" s="286"/>
      <c r="R160" s="198"/>
    </row>
    <row r="161" spans="1:18">
      <c r="A161" s="257" t="s">
        <v>18</v>
      </c>
      <c r="B161" s="262" t="str">
        <f>'6-x'!AK729</f>
        <v/>
      </c>
      <c r="C161" s="262">
        <f>'6-x'!AL729</f>
        <v>0.34897246994959286</v>
      </c>
      <c r="D161" s="262">
        <f>'6-x'!AM729</f>
        <v>0.402189699474919</v>
      </c>
      <c r="E161" s="262">
        <f>'6-x'!AN729</f>
        <v>0.373676562175628</v>
      </c>
      <c r="F161" s="262">
        <f>'6-x'!AO729</f>
        <v>0.40899795501022501</v>
      </c>
      <c r="G161" s="262">
        <f>'6-x'!AP729</f>
        <v>0.36949604844503747</v>
      </c>
      <c r="H161" s="306">
        <f>'6-x'!AQ729</f>
        <v>0.37851402728111827</v>
      </c>
      <c r="I161" s="286"/>
      <c r="R161" s="198"/>
    </row>
    <row r="162" spans="1:18">
      <c r="A162" s="257" t="s">
        <v>19</v>
      </c>
      <c r="B162" s="262" t="str">
        <f>'6-x'!AK730</f>
        <v/>
      </c>
      <c r="C162" s="262">
        <f>'6-x'!AL730</f>
        <v>0.50625791027984812</v>
      </c>
      <c r="D162" s="262" t="str">
        <f>'6-x'!AM730</f>
        <v/>
      </c>
      <c r="E162" s="262">
        <f>'6-x'!AN730</f>
        <v>0.24363833243096911</v>
      </c>
      <c r="F162" s="262">
        <f>'6-x'!AO730</f>
        <v>0.2554278416347382</v>
      </c>
      <c r="G162" s="262">
        <f>'6-x'!AP730</f>
        <v>0.31821797931583135</v>
      </c>
      <c r="H162" s="306">
        <f>'6-x'!AQ730</f>
        <v>0.50009633627451744</v>
      </c>
      <c r="I162" s="286"/>
      <c r="R162" s="198"/>
    </row>
    <row r="163" spans="1:18">
      <c r="A163" s="257" t="s">
        <v>20</v>
      </c>
      <c r="B163" s="262">
        <f>'6-x'!AK731</f>
        <v>0.3780272897900499</v>
      </c>
      <c r="C163" s="262">
        <f>'6-x'!AL731</f>
        <v>0.39713182570325434</v>
      </c>
      <c r="D163" s="262" t="str">
        <f>'6-x'!AM731</f>
        <v/>
      </c>
      <c r="E163" s="262">
        <f>'6-x'!AN731</f>
        <v>0.3515625</v>
      </c>
      <c r="F163" s="262">
        <f>'6-x'!AO731</f>
        <v>0.26214228500691761</v>
      </c>
      <c r="G163" s="262">
        <f>'6-x'!AP731</f>
        <v>0.39924586891427305</v>
      </c>
      <c r="H163" s="306">
        <f>'6-x'!AQ731</f>
        <v>0.36286429138163251</v>
      </c>
      <c r="I163" s="286"/>
      <c r="R163" s="198"/>
    </row>
    <row r="164" spans="1:18">
      <c r="A164" s="257" t="s">
        <v>21</v>
      </c>
      <c r="B164" s="262" t="str">
        <f>'6-x'!AK732</f>
        <v/>
      </c>
      <c r="C164" s="262">
        <f>'6-x'!AL732</f>
        <v>0.53317535545023698</v>
      </c>
      <c r="D164" s="262" t="str">
        <f>'6-x'!AM732</f>
        <v/>
      </c>
      <c r="E164" s="262">
        <f>'6-x'!AN732</f>
        <v>0.46445619920010328</v>
      </c>
      <c r="F164" s="262">
        <f>'6-x'!AO732</f>
        <v>0.47219307450157405</v>
      </c>
      <c r="G164" s="262">
        <f>'6-x'!AP732</f>
        <v>0.35280282242257938</v>
      </c>
      <c r="H164" s="306">
        <f>'6-x'!AQ732</f>
        <v>0.52881933243279222</v>
      </c>
      <c r="I164" s="286"/>
      <c r="R164" s="198"/>
    </row>
    <row r="165" spans="1:18">
      <c r="A165" s="257" t="s">
        <v>23</v>
      </c>
      <c r="B165" s="262" t="str">
        <f>'6-x'!AK733</f>
        <v/>
      </c>
      <c r="C165" s="262">
        <f>'6-x'!AL733</f>
        <v>0.38354996803750269</v>
      </c>
      <c r="D165" s="262" t="str">
        <f>'6-x'!AM733</f>
        <v/>
      </c>
      <c r="E165" s="262" t="str">
        <f>'6-x'!AN733</f>
        <v/>
      </c>
      <c r="F165" s="262" t="str">
        <f>'6-x'!AO733</f>
        <v/>
      </c>
      <c r="G165" s="262" t="str">
        <f>'6-x'!AP733</f>
        <v/>
      </c>
      <c r="H165" s="306">
        <f>'6-x'!AQ733</f>
        <v>0.38354996803750269</v>
      </c>
      <c r="I165" s="286"/>
      <c r="R165" s="198"/>
    </row>
    <row r="166" spans="1:18">
      <c r="A166" s="258" t="s">
        <v>287</v>
      </c>
      <c r="B166" s="306">
        <f>'6-x'!AK734</f>
        <v>0.80930518603014745</v>
      </c>
      <c r="C166" s="306">
        <f>'6-x'!AL734</f>
        <v>0.58705323415327482</v>
      </c>
      <c r="D166" s="306">
        <f>'6-x'!AM734</f>
        <v>0.41384962823507804</v>
      </c>
      <c r="E166" s="306">
        <f>'6-x'!AN734</f>
        <v>0.56115729793144919</v>
      </c>
      <c r="F166" s="306">
        <f>'6-x'!AO734</f>
        <v>0.45143974649752183</v>
      </c>
      <c r="G166" s="306">
        <f>'6-x'!AP734</f>
        <v>0.50780187791455633</v>
      </c>
      <c r="H166" s="306">
        <f>'6-x'!AQ734</f>
        <v>0.55369123808789333</v>
      </c>
      <c r="I166" s="286"/>
      <c r="J166" s="306">
        <f>'6-x'!AK751</f>
        <v>0.87022302802991691</v>
      </c>
      <c r="K166" s="306">
        <f>'6-x'!AL751</f>
        <v>0.66454014045573939</v>
      </c>
      <c r="L166" s="306">
        <f>'6-x'!AM751</f>
        <v>0.51000695559065667</v>
      </c>
      <c r="M166" s="306">
        <f>'6-x'!AN751</f>
        <v>0.7679803578525175</v>
      </c>
      <c r="N166" s="306">
        <f>'6-x'!AO751</f>
        <v>0.57770756998468664</v>
      </c>
      <c r="O166" s="306">
        <f>'6-x'!AP751</f>
        <v>0.58657713559255098</v>
      </c>
      <c r="P166" s="306">
        <f>'6-x'!AQ751</f>
        <v>0.64587672921807615</v>
      </c>
      <c r="Q166" s="286"/>
      <c r="R166" s="198"/>
    </row>
    <row r="167" spans="1:18">
      <c r="A167" s="257" t="s">
        <v>25</v>
      </c>
      <c r="B167" s="262" t="str">
        <f>'6-x'!AK735</f>
        <v/>
      </c>
      <c r="C167" s="262">
        <f>'6-x'!AL735</f>
        <v>0.64011379800853485</v>
      </c>
      <c r="D167" s="262">
        <f>'6-x'!AM735</f>
        <v>0.50398992020159605</v>
      </c>
      <c r="E167" s="262">
        <f>'6-x'!AN735</f>
        <v>0.54249547920433994</v>
      </c>
      <c r="F167" s="262">
        <f>'6-x'!AO735</f>
        <v>0.47694753577106519</v>
      </c>
      <c r="G167" s="262">
        <f>'6-x'!AP735</f>
        <v>0.50818746470920395</v>
      </c>
      <c r="H167" s="306">
        <f>'6-x'!AQ735</f>
        <v>0.56197881251838655</v>
      </c>
      <c r="I167" s="286"/>
      <c r="J167" s="262" t="str">
        <f>'6-x'!AK752</f>
        <v/>
      </c>
      <c r="K167" s="262">
        <f>'6-x'!AL752</f>
        <v>0.73826951649430161</v>
      </c>
      <c r="L167" s="262">
        <f>'6-x'!AM752</f>
        <v>0.60285413141763522</v>
      </c>
      <c r="M167" s="262">
        <f>'6-x'!AN752</f>
        <v>0.63819545075696293</v>
      </c>
      <c r="N167" s="262">
        <f>'6-x'!AO752</f>
        <v>0.62390110583494207</v>
      </c>
      <c r="O167" s="262">
        <f>'6-x'!AP752</f>
        <v>0.58648405111583601</v>
      </c>
      <c r="P167" s="306">
        <f>'6-x'!AQ752</f>
        <v>0.66697951685581713</v>
      </c>
      <c r="Q167" s="286"/>
      <c r="R167" s="198"/>
    </row>
    <row r="168" spans="1:18">
      <c r="A168" s="257" t="s">
        <v>26</v>
      </c>
      <c r="B168" s="262" t="str">
        <f>'6-x'!AK736</f>
        <v/>
      </c>
      <c r="C168" s="262">
        <f>'6-x'!AL736</f>
        <v>0.60160427807486627</v>
      </c>
      <c r="D168" s="262">
        <f>'6-x'!AM736</f>
        <v>0.76742698784907271</v>
      </c>
      <c r="E168" s="262">
        <f>'6-x'!AN736</f>
        <v>0.71570576540755471</v>
      </c>
      <c r="F168" s="262">
        <f>'6-x'!AO736</f>
        <v>0.40504050405040509</v>
      </c>
      <c r="G168" s="262">
        <f>'6-x'!AP736</f>
        <v>0.46397731666451864</v>
      </c>
      <c r="H168" s="306">
        <f>'6-x'!AQ736</f>
        <v>0.60906304751789175</v>
      </c>
      <c r="I168" s="286"/>
      <c r="J168" s="262" t="str">
        <f>'6-x'!AK753</f>
        <v/>
      </c>
      <c r="K168" s="262">
        <f>'6-x'!AL753</f>
        <v>0.74434388198092727</v>
      </c>
      <c r="L168" s="262" t="str">
        <f>'6-x'!AM753</f>
        <v/>
      </c>
      <c r="M168" s="262">
        <f>'6-x'!AN753</f>
        <v>0.82429103085400302</v>
      </c>
      <c r="N168" s="262">
        <f>'6-x'!AO753</f>
        <v>0.72847099286834249</v>
      </c>
      <c r="O168" s="262">
        <f>'6-x'!AP753</f>
        <v>0.68652499692912416</v>
      </c>
      <c r="P168" s="306">
        <f>'6-x'!AQ753</f>
        <v>0.75138255345615113</v>
      </c>
      <c r="Q168" s="286"/>
      <c r="R168" s="198"/>
    </row>
    <row r="169" spans="1:18">
      <c r="A169" s="257" t="s">
        <v>27</v>
      </c>
      <c r="B169" s="262">
        <f>'6-x'!AK737</f>
        <v>0.81892629663330296</v>
      </c>
      <c r="C169" s="262">
        <f>'6-x'!AL737</f>
        <v>0.58205335489086507</v>
      </c>
      <c r="D169" s="262">
        <f>'6-x'!AM737</f>
        <v>0.43551899346721512</v>
      </c>
      <c r="E169" s="262">
        <f>'6-x'!AN737</f>
        <v>0.55478502080443837</v>
      </c>
      <c r="F169" s="262">
        <f>'6-x'!AO737</f>
        <v>0.59553349875930528</v>
      </c>
      <c r="G169" s="262">
        <f>'6-x'!AP737</f>
        <v>0.46100653092585481</v>
      </c>
      <c r="H169" s="306">
        <f>'6-x'!AQ737</f>
        <v>0.5805850282535715</v>
      </c>
      <c r="I169" s="286"/>
      <c r="J169" s="262">
        <f>'6-x'!AK754</f>
        <v>0.87956772946921213</v>
      </c>
      <c r="K169" s="262">
        <f>'6-x'!AL754</f>
        <v>0.64212144142614647</v>
      </c>
      <c r="L169" s="262">
        <f>'6-x'!AM754</f>
        <v>0.5206694480905677</v>
      </c>
      <c r="M169" s="262">
        <f>'6-x'!AN754</f>
        <v>0.73150972228179056</v>
      </c>
      <c r="N169" s="262">
        <f>'6-x'!AO754</f>
        <v>0.63085883763751915</v>
      </c>
      <c r="O169" s="262">
        <f>'6-x'!AP754</f>
        <v>0.56452869733447963</v>
      </c>
      <c r="P169" s="306">
        <f>'6-x'!AQ754</f>
        <v>0.64306705553669807</v>
      </c>
      <c r="Q169" s="286"/>
      <c r="R169" s="198"/>
    </row>
    <row r="170" spans="1:18">
      <c r="A170" s="257" t="s">
        <v>28</v>
      </c>
      <c r="B170" s="262">
        <f>'6-x'!AK738</f>
        <v>0.71656050955414019</v>
      </c>
      <c r="C170" s="262">
        <f>'6-x'!AL738</f>
        <v>0.73424434019987772</v>
      </c>
      <c r="D170" s="262" t="str">
        <f>'6-x'!AM738</f>
        <v/>
      </c>
      <c r="E170" s="262">
        <f>'6-x'!AN738</f>
        <v>0.77669902912621358</v>
      </c>
      <c r="F170" s="262">
        <f>'6-x'!AO738</f>
        <v>0.6094464195022854</v>
      </c>
      <c r="G170" s="262">
        <f>'6-x'!AP738</f>
        <v>0.75821398483572033</v>
      </c>
      <c r="H170" s="306">
        <f>'6-x'!AQ738</f>
        <v>0.68454736247977988</v>
      </c>
      <c r="I170" s="286"/>
      <c r="J170" s="262">
        <f>'6-x'!AK755</f>
        <v>0.82836494389687543</v>
      </c>
      <c r="K170" s="262">
        <f>'6-x'!AL755</f>
        <v>0.8471956737928017</v>
      </c>
      <c r="L170" s="262" t="str">
        <f>'6-x'!AM755</f>
        <v/>
      </c>
      <c r="M170" s="262">
        <f>'6-x'!AN755</f>
        <v>0.88924693616991879</v>
      </c>
      <c r="N170" s="262">
        <f>'6-x'!AO755</f>
        <v>0.76985627026969161</v>
      </c>
      <c r="O170" s="262">
        <f>'6-x'!AP755</f>
        <v>0.83863571223846378</v>
      </c>
      <c r="P170" s="306">
        <f>'6-x'!AQ755</f>
        <v>0.83478602236006916</v>
      </c>
      <c r="Q170" s="286"/>
      <c r="R170" s="198"/>
    </row>
    <row r="171" spans="1:18">
      <c r="A171" s="257" t="s">
        <v>29</v>
      </c>
      <c r="B171" s="262" t="str">
        <f>'6-x'!AK739</f>
        <v/>
      </c>
      <c r="C171" s="262">
        <f>'6-x'!AL739</f>
        <v>0.42765502494654317</v>
      </c>
      <c r="D171" s="262">
        <f>'6-x'!AM739</f>
        <v>0.39045553145336226</v>
      </c>
      <c r="E171" s="262">
        <f>'6-x'!AN739</f>
        <v>0.41748811318566631</v>
      </c>
      <c r="F171" s="262">
        <f>'6-x'!AO739</f>
        <v>0.28313016122689738</v>
      </c>
      <c r="G171" s="262">
        <f>'6-x'!AP739</f>
        <v>0.3496843127731909</v>
      </c>
      <c r="H171" s="306">
        <f>'6-x'!AQ739</f>
        <v>0.32427323638830202</v>
      </c>
      <c r="I171" s="286"/>
      <c r="J171" s="262" t="str">
        <f>'6-x'!AK756</f>
        <v/>
      </c>
      <c r="K171" s="262">
        <f>'6-x'!AL756</f>
        <v>0.58995780338929105</v>
      </c>
      <c r="L171" s="262">
        <f>'6-x'!AM756</f>
        <v>0.49368358990237465</v>
      </c>
      <c r="M171" s="262">
        <f>'6-x'!AN756</f>
        <v>0.72233124443599084</v>
      </c>
      <c r="N171" s="262">
        <f>'6-x'!AO756</f>
        <v>0.49753929313502948</v>
      </c>
      <c r="O171" s="262">
        <f>'6-x'!AP756</f>
        <v>0.61088095051981539</v>
      </c>
      <c r="P171" s="306">
        <f>'6-x'!AQ756</f>
        <v>0.52495595405827522</v>
      </c>
      <c r="Q171" s="286"/>
      <c r="R171" s="198"/>
    </row>
    <row r="172" spans="1:18">
      <c r="A172" s="368" t="s">
        <v>10</v>
      </c>
      <c r="B172" s="369">
        <f>'6-x'!AK740</f>
        <v>0.37869528599914415</v>
      </c>
      <c r="C172" s="369">
        <f>'6-x'!AL740</f>
        <v>0.56454358650448455</v>
      </c>
      <c r="D172" s="369">
        <f>'6-x'!AM740</f>
        <v>0.4136735486173882</v>
      </c>
      <c r="E172" s="369">
        <f>'6-x'!AN740</f>
        <v>0.42058658269707699</v>
      </c>
      <c r="F172" s="369">
        <f>'6-x'!AO740</f>
        <v>0.39200327702031773</v>
      </c>
      <c r="G172" s="369">
        <f>'6-x'!AP740</f>
        <v>0.44309466245884321</v>
      </c>
      <c r="H172" s="369">
        <f>'6-x'!AQ740</f>
        <v>0.47610336345111759</v>
      </c>
      <c r="I172" s="286"/>
      <c r="J172" s="369">
        <f>'6-x'!AK757</f>
        <v>0.38133682720839795</v>
      </c>
      <c r="K172" s="369">
        <f>'6-x'!AL757</f>
        <v>0.62246607781796737</v>
      </c>
      <c r="L172" s="369">
        <f>'6-x'!AM757</f>
        <v>0.50869615594360573</v>
      </c>
      <c r="M172" s="369">
        <f>'6-x'!AN757</f>
        <v>0.57944885656011991</v>
      </c>
      <c r="N172" s="369">
        <f>'6-x'!AO757</f>
        <v>0.48429860872041863</v>
      </c>
      <c r="O172" s="369">
        <f>'6-x'!AP757</f>
        <v>0.49808494149998339</v>
      </c>
      <c r="P172" s="369">
        <f>'6-x'!AQ757</f>
        <v>0.53438762496282788</v>
      </c>
      <c r="R172" s="198"/>
    </row>
    <row r="175" spans="1:18" ht="14.7" customHeight="1">
      <c r="A175" s="283">
        <v>2010</v>
      </c>
      <c r="B175" s="896" t="s">
        <v>383</v>
      </c>
      <c r="C175" s="897"/>
      <c r="D175" s="897"/>
      <c r="E175" s="897"/>
      <c r="F175" s="897"/>
      <c r="G175" s="897"/>
      <c r="H175" s="898"/>
    </row>
    <row r="176" spans="1:18">
      <c r="A176" s="258" t="s">
        <v>286</v>
      </c>
      <c r="B176" s="306">
        <f>'6-x'!AK812</f>
        <v>0.37897130345074431</v>
      </c>
      <c r="C176" s="306">
        <f>'6-x'!AL812</f>
        <v>0.51003513648154264</v>
      </c>
      <c r="D176" s="306">
        <f>'6-x'!AM812</f>
        <v>0.36701009939913076</v>
      </c>
      <c r="E176" s="306">
        <f>'6-x'!AN812</f>
        <v>0.34234797074739698</v>
      </c>
      <c r="F176" s="306">
        <f>'6-x'!AO812</f>
        <v>0.28280815410649157</v>
      </c>
      <c r="G176" s="306">
        <f>'6-x'!AP812</f>
        <v>0.34945598535146633</v>
      </c>
      <c r="H176" s="306">
        <f>'6-x'!AQ812</f>
        <v>0.43057963884183692</v>
      </c>
      <c r="I176" s="284"/>
    </row>
    <row r="177" spans="1:16">
      <c r="A177" s="257" t="s">
        <v>18</v>
      </c>
      <c r="B177" s="262" t="str">
        <f>'6-x'!AK813</f>
        <v/>
      </c>
      <c r="C177" s="262">
        <f>'6-x'!AL813</f>
        <v>0.35039906560249173</v>
      </c>
      <c r="D177" s="262">
        <f>'6-x'!AM813</f>
        <v>0.39844542532853822</v>
      </c>
      <c r="E177" s="262">
        <f>'6-x'!AN813</f>
        <v>0.37613527027952121</v>
      </c>
      <c r="F177" s="262">
        <f>'6-x'!AO813</f>
        <v>0.40848746170430045</v>
      </c>
      <c r="G177" s="262">
        <f>'6-x'!AP813</f>
        <v>0.34970129680897571</v>
      </c>
      <c r="H177" s="306">
        <f>'6-x'!AQ813</f>
        <v>0.37149397623218244</v>
      </c>
      <c r="I177" s="284"/>
    </row>
    <row r="178" spans="1:16">
      <c r="A178" s="257" t="s">
        <v>19</v>
      </c>
      <c r="B178" s="262" t="str">
        <f>'6-x'!AK814</f>
        <v/>
      </c>
      <c r="C178" s="262">
        <f>'6-x'!AL814</f>
        <v>0.28193280601456655</v>
      </c>
      <c r="D178" s="262" t="str">
        <f>'6-x'!AM814</f>
        <v/>
      </c>
      <c r="E178" s="262">
        <f>'6-x'!AN814</f>
        <v>0.20925899923557692</v>
      </c>
      <c r="F178" s="262">
        <f>'6-x'!AO814</f>
        <v>0.27479888156855203</v>
      </c>
      <c r="G178" s="262">
        <f>'6-x'!AP814</f>
        <v>0.32108455226542998</v>
      </c>
      <c r="H178" s="306">
        <f>'6-x'!AQ814</f>
        <v>0.27357715530398152</v>
      </c>
      <c r="I178" s="284"/>
    </row>
    <row r="179" spans="1:16">
      <c r="A179" s="257" t="s">
        <v>20</v>
      </c>
      <c r="B179" s="262">
        <f>'6-x'!AK815</f>
        <v>0.37897130345074431</v>
      </c>
      <c r="C179" s="262">
        <f>'6-x'!AL815</f>
        <v>0.36498200435950734</v>
      </c>
      <c r="D179" s="262">
        <f>'6-x'!AM815</f>
        <v>0.36590943741424004</v>
      </c>
      <c r="E179" s="262">
        <f>'6-x'!AN815</f>
        <v>0.34217279726261762</v>
      </c>
      <c r="F179" s="262">
        <f>'6-x'!AO815</f>
        <v>0.22966507177033493</v>
      </c>
      <c r="G179" s="262" t="str">
        <f>'6-x'!AP815</f>
        <v/>
      </c>
      <c r="H179" s="306">
        <f>'6-x'!AQ815</f>
        <v>0.35836185722793329</v>
      </c>
      <c r="I179" s="284"/>
    </row>
    <row r="180" spans="1:16">
      <c r="A180" s="257" t="s">
        <v>21</v>
      </c>
      <c r="B180" s="262" t="str">
        <f>'6-x'!AK816</f>
        <v/>
      </c>
      <c r="C180" s="262">
        <f>'6-x'!AL816</f>
        <v>0.5275884809848318</v>
      </c>
      <c r="D180" s="262">
        <f>'6-x'!AM816</f>
        <v>0.3671596124426314</v>
      </c>
      <c r="E180" s="262">
        <f>'6-x'!AN816</f>
        <v>0.12665270700530057</v>
      </c>
      <c r="F180" s="262">
        <f>'6-x'!AO816</f>
        <v>0.48661303217826007</v>
      </c>
      <c r="G180" s="262" t="str">
        <f>'6-x'!AP816</f>
        <v/>
      </c>
      <c r="H180" s="306">
        <f>'6-x'!AQ816</f>
        <v>0.52636331177959483</v>
      </c>
      <c r="I180" s="284"/>
    </row>
    <row r="181" spans="1:16">
      <c r="A181" s="257" t="s">
        <v>23</v>
      </c>
      <c r="B181" s="262" t="str">
        <f>'6-x'!AK817</f>
        <v/>
      </c>
      <c r="C181" s="262">
        <f>'6-x'!AL817</f>
        <v>0.35678889990089196</v>
      </c>
      <c r="D181" s="262" t="str">
        <f>'6-x'!AM817</f>
        <v/>
      </c>
      <c r="E181" s="262">
        <f>'6-x'!AN817</f>
        <v>0.34825647138881555</v>
      </c>
      <c r="F181" s="262" t="str">
        <f>'6-x'!AO817</f>
        <v/>
      </c>
      <c r="G181" s="262" t="str">
        <f>'6-x'!AP817</f>
        <v/>
      </c>
      <c r="H181" s="306">
        <f>'6-x'!AQ817</f>
        <v>0.35533125503729135</v>
      </c>
      <c r="I181" s="284"/>
    </row>
    <row r="182" spans="1:16">
      <c r="A182" s="258" t="s">
        <v>287</v>
      </c>
      <c r="B182" s="306">
        <f>'6-x'!AK818</f>
        <v>0.58056687016837316</v>
      </c>
      <c r="C182" s="306">
        <f>'6-x'!AL818</f>
        <v>0.55282763608296626</v>
      </c>
      <c r="D182" s="306">
        <f>'6-x'!AM818</f>
        <v>0.40611368691594391</v>
      </c>
      <c r="E182" s="306">
        <f>'6-x'!AN818</f>
        <v>0.47002039012596691</v>
      </c>
      <c r="F182" s="306">
        <f>'6-x'!AO818</f>
        <v>0.4053118802898143</v>
      </c>
      <c r="G182" s="306">
        <f>'6-x'!AP818</f>
        <v>0.42906885374928438</v>
      </c>
      <c r="H182" s="306">
        <f>'6-x'!AQ818</f>
        <v>0.51591288069829488</v>
      </c>
      <c r="I182" s="56"/>
      <c r="J182" s="306">
        <f>'6-x'!AK835</f>
        <v>0.77208548955652923</v>
      </c>
      <c r="K182" s="306">
        <f>'6-x'!AL835</f>
        <v>0.62219601972117611</v>
      </c>
      <c r="L182" s="306">
        <f>'6-x'!AM835</f>
        <v>0.42153834165919912</v>
      </c>
      <c r="M182" s="306">
        <f>'6-x'!AN835</f>
        <v>0.72294401994815727</v>
      </c>
      <c r="N182" s="306">
        <f>'6-x'!AO835</f>
        <v>0.47778841494519503</v>
      </c>
      <c r="O182" s="306">
        <f>'6-x'!AP835</f>
        <v>0.51525157374342456</v>
      </c>
      <c r="P182" s="306">
        <f>'6-x'!AQ835</f>
        <v>0.6009120884533764</v>
      </c>
    </row>
    <row r="183" spans="1:16">
      <c r="A183" s="257" t="s">
        <v>25</v>
      </c>
      <c r="B183" s="262" t="str">
        <f>'6-x'!AK819</f>
        <v/>
      </c>
      <c r="C183" s="262">
        <f>'6-x'!AL819</f>
        <v>0.55366724266515488</v>
      </c>
      <c r="D183" s="262">
        <f>'6-x'!AM819</f>
        <v>0.39460542811334814</v>
      </c>
      <c r="E183" s="262">
        <f>'6-x'!AN819</f>
        <v>0.56494430214125202</v>
      </c>
      <c r="F183" s="262">
        <f>'6-x'!AO819</f>
        <v>0.50430805153019675</v>
      </c>
      <c r="G183" s="262">
        <f>'6-x'!AP819</f>
        <v>0.46302920186267388</v>
      </c>
      <c r="H183" s="306">
        <f>'6-x'!AQ819</f>
        <v>0.52975443028370783</v>
      </c>
      <c r="I183" s="56"/>
      <c r="J183" s="262" t="str">
        <f>'6-x'!AK836</f>
        <v/>
      </c>
      <c r="K183" s="262">
        <f>'6-x'!AL836</f>
        <v>0.68807995963564428</v>
      </c>
      <c r="L183" s="262">
        <f>'6-x'!AM836</f>
        <v>0.41619315644845645</v>
      </c>
      <c r="M183" s="262">
        <f>'6-x'!AN836</f>
        <v>0.63770168428506402</v>
      </c>
      <c r="N183" s="262">
        <f>'6-x'!AO836</f>
        <v>0.59415476775303155</v>
      </c>
      <c r="O183" s="262">
        <f>'6-x'!AP836</f>
        <v>0.53362373219160919</v>
      </c>
      <c r="P183" s="306">
        <f>'6-x'!AQ836</f>
        <v>0.65350725267726539</v>
      </c>
    </row>
    <row r="184" spans="1:16">
      <c r="A184" s="257" t="s">
        <v>26</v>
      </c>
      <c r="B184" s="262" t="str">
        <f>'6-x'!AK820</f>
        <v/>
      </c>
      <c r="C184" s="262">
        <f>'6-x'!AL820</f>
        <v>0.58853198347637614</v>
      </c>
      <c r="D184" s="262">
        <f>'6-x'!AM820</f>
        <v>0.73869864936338958</v>
      </c>
      <c r="E184" s="262">
        <f>'6-x'!AN820</f>
        <v>0.54872063041415786</v>
      </c>
      <c r="F184" s="262" t="str">
        <f>'6-x'!AO820</f>
        <v/>
      </c>
      <c r="G184" s="262">
        <f>'6-x'!AP820</f>
        <v>0.55581462692888528</v>
      </c>
      <c r="H184" s="306">
        <f>'6-x'!AQ820</f>
        <v>0.58270289093592809</v>
      </c>
      <c r="I184" s="56"/>
      <c r="J184" s="262" t="str">
        <f>'6-x'!AK837</f>
        <v/>
      </c>
      <c r="K184" s="262">
        <f>'6-x'!AL837</f>
        <v>0.73801561453965503</v>
      </c>
      <c r="L184" s="262">
        <f>'6-x'!AM837</f>
        <v>0.25795356835769556</v>
      </c>
      <c r="M184" s="262">
        <f>'6-x'!AN837</f>
        <v>0.72444816213274843</v>
      </c>
      <c r="N184" s="262" t="str">
        <f>'6-x'!AO837</f>
        <v/>
      </c>
      <c r="O184" s="262">
        <f>'6-x'!AP837</f>
        <v>0.77944969905417016</v>
      </c>
      <c r="P184" s="306">
        <f>'6-x'!AQ837</f>
        <v>0.73594977967440633</v>
      </c>
    </row>
    <row r="185" spans="1:16">
      <c r="A185" s="257" t="s">
        <v>27</v>
      </c>
      <c r="B185" s="262">
        <f>'6-x'!AK821</f>
        <v>0.56193806193806195</v>
      </c>
      <c r="C185" s="262">
        <f>'6-x'!AL821</f>
        <v>0.55473928409354445</v>
      </c>
      <c r="D185" s="262">
        <f>'6-x'!AM821</f>
        <v>0.4151835962621851</v>
      </c>
      <c r="E185" s="262">
        <f>'6-x'!AN821</f>
        <v>0.53673235197190106</v>
      </c>
      <c r="F185" s="262">
        <f>'6-x'!AO821</f>
        <v>0.49932940061497405</v>
      </c>
      <c r="G185" s="262">
        <f>'6-x'!AP821</f>
        <v>0.17067193883663864</v>
      </c>
      <c r="H185" s="306">
        <f>'6-x'!AQ821</f>
        <v>0.54040682511310922</v>
      </c>
      <c r="I185" s="56"/>
      <c r="J185" s="262">
        <f>'6-x'!AK838</f>
        <v>0.74367968263067141</v>
      </c>
      <c r="K185" s="262">
        <f>'6-x'!AL838</f>
        <v>0.6054654064087468</v>
      </c>
      <c r="L185" s="262">
        <f>'6-x'!AM838</f>
        <v>0.42922018756792724</v>
      </c>
      <c r="M185" s="262">
        <f>'6-x'!AN838</f>
        <v>0.74397469711194708</v>
      </c>
      <c r="N185" s="262">
        <f>'6-x'!AO838</f>
        <v>0.53433993225854193</v>
      </c>
      <c r="O185" s="262">
        <f>'6-x'!AP838</f>
        <v>0.28131269704786477</v>
      </c>
      <c r="P185" s="306">
        <f>'6-x'!AQ838</f>
        <v>0.59466254055761347</v>
      </c>
    </row>
    <row r="186" spans="1:16">
      <c r="A186" s="257" t="s">
        <v>28</v>
      </c>
      <c r="B186" s="262">
        <f>'6-x'!AK822</f>
        <v>0.74834223486421703</v>
      </c>
      <c r="C186" s="262">
        <f>'6-x'!AL822</f>
        <v>0.47114807005971809</v>
      </c>
      <c r="D186" s="262" t="str">
        <f>'6-x'!AM822</f>
        <v/>
      </c>
      <c r="E186" s="262">
        <f>'6-x'!AN822</f>
        <v>0.43735769474007397</v>
      </c>
      <c r="F186" s="262">
        <f>'6-x'!AO822</f>
        <v>0.57824157892332573</v>
      </c>
      <c r="G186" s="262">
        <f>'6-x'!AP822</f>
        <v>0.51059692865735473</v>
      </c>
      <c r="H186" s="306">
        <f>'6-x'!AQ822</f>
        <v>0.49030899465335487</v>
      </c>
      <c r="I186" s="56"/>
      <c r="J186" s="262">
        <f>'6-x'!AK839</f>
        <v>0.83755741039783582</v>
      </c>
      <c r="K186" s="262">
        <f>'6-x'!AL839</f>
        <v>0.73353425608931433</v>
      </c>
      <c r="L186" s="262" t="str">
        <f>'6-x'!AM839</f>
        <v/>
      </c>
      <c r="M186" s="262">
        <f>'6-x'!AN839</f>
        <v>0.77191145126171279</v>
      </c>
      <c r="N186" s="262">
        <f>'6-x'!AO839</f>
        <v>0.73454671928205117</v>
      </c>
      <c r="O186" s="262">
        <f>'6-x'!AP839</f>
        <v>0.70551256329416256</v>
      </c>
      <c r="P186" s="306">
        <f>'6-x'!AQ839</f>
        <v>0.74724633618812053</v>
      </c>
    </row>
    <row r="187" spans="1:16">
      <c r="A187" s="257" t="s">
        <v>29</v>
      </c>
      <c r="B187" s="262" t="str">
        <f>'6-x'!AK823</f>
        <v/>
      </c>
      <c r="C187" s="262">
        <f>'6-x'!AL823</f>
        <v>0.40406260707659086</v>
      </c>
      <c r="D187" s="262">
        <f>'6-x'!AM823</f>
        <v>0.20614846028745756</v>
      </c>
      <c r="E187" s="262">
        <f>'6-x'!AN823</f>
        <v>0.41478303321706966</v>
      </c>
      <c r="F187" s="262">
        <f>'6-x'!AO823</f>
        <v>0.19954635132489801</v>
      </c>
      <c r="G187" s="262">
        <f>'6-x'!AP823</f>
        <v>0.29578439210835411</v>
      </c>
      <c r="H187" s="306">
        <f>'6-x'!AQ823</f>
        <v>0.27398071305549881</v>
      </c>
      <c r="I187" s="56"/>
      <c r="J187" s="262" t="str">
        <f>'6-x'!AK840</f>
        <v/>
      </c>
      <c r="K187" s="262">
        <f>'6-x'!AL840</f>
        <v>0.62481776032210201</v>
      </c>
      <c r="L187" s="262">
        <f>'6-x'!AM840</f>
        <v>0.25614789337919175</v>
      </c>
      <c r="M187" s="262">
        <f>'6-x'!AN840</f>
        <v>0.69228065667276484</v>
      </c>
      <c r="N187" s="262">
        <f>'6-x'!AO840</f>
        <v>0.3237267050460283</v>
      </c>
      <c r="O187" s="262">
        <f>'6-x'!AP840</f>
        <v>0.4230576759848822</v>
      </c>
      <c r="P187" s="306">
        <f>'6-x'!AQ840</f>
        <v>0.49552355560717898</v>
      </c>
    </row>
    <row r="188" spans="1:16">
      <c r="A188" s="368" t="s">
        <v>10</v>
      </c>
      <c r="B188" s="369">
        <f>'6-x'!AK824</f>
        <v>0.37940114085475474</v>
      </c>
      <c r="C188" s="369">
        <f>'6-x'!AL824</f>
        <v>0.5334776540442806</v>
      </c>
      <c r="D188" s="369">
        <f>'6-x'!AM824</f>
        <v>0.39756680306374076</v>
      </c>
      <c r="E188" s="369">
        <f>'6-x'!AN824</f>
        <v>0.39594280594202974</v>
      </c>
      <c r="F188" s="369">
        <f>'6-x'!AO824</f>
        <v>0.36164193646030268</v>
      </c>
      <c r="G188" s="369">
        <f>'6-x'!AP824</f>
        <v>0.36885833728268586</v>
      </c>
      <c r="H188" s="369">
        <f>'6-x'!AQ824</f>
        <v>0.46802011910844188</v>
      </c>
      <c r="I188" s="56"/>
      <c r="J188" s="369">
        <f>'6-x'!AK841</f>
        <v>0.38132824857613862</v>
      </c>
      <c r="K188" s="369">
        <f>'6-x'!AL841</f>
        <v>0.57770025284144522</v>
      </c>
      <c r="L188" s="369">
        <f>'6-x'!AM841</f>
        <v>0.40991293866614142</v>
      </c>
      <c r="M188" s="369">
        <f>'6-x'!AN841</f>
        <v>0.58448430873757695</v>
      </c>
      <c r="N188" s="369">
        <f>'6-x'!AO841</f>
        <v>0.41578721973986843</v>
      </c>
      <c r="O188" s="369">
        <f>'6-x'!AP841</f>
        <v>0.39637328443478526</v>
      </c>
      <c r="P188" s="369">
        <f>'6-x'!AQ841</f>
        <v>0.51616429959007715</v>
      </c>
    </row>
    <row r="191" spans="1:16" ht="14.7" customHeight="1">
      <c r="A191" s="283">
        <v>2005</v>
      </c>
      <c r="B191" s="896" t="s">
        <v>383</v>
      </c>
      <c r="C191" s="897"/>
      <c r="D191" s="897"/>
      <c r="E191" s="897"/>
      <c r="F191" s="897"/>
      <c r="G191" s="897"/>
      <c r="H191" s="898"/>
    </row>
    <row r="192" spans="1:16">
      <c r="A192" s="258" t="s">
        <v>286</v>
      </c>
      <c r="B192" s="306">
        <f>'6-x'!AK895</f>
        <v>0.36776955853677729</v>
      </c>
      <c r="C192" s="306">
        <f>'6-x'!AL895</f>
        <v>0.49448518056676388</v>
      </c>
      <c r="D192" s="306">
        <f>'6-x'!AM895</f>
        <v>0.35415429116275626</v>
      </c>
      <c r="E192" s="306">
        <f>'6-x'!AN895</f>
        <v>0.3757536569378479</v>
      </c>
      <c r="F192" s="306">
        <f>'6-x'!AO895</f>
        <v>0.19514083708283092</v>
      </c>
      <c r="G192" s="306">
        <f>'6-x'!AP895</f>
        <v>0.33586045906208917</v>
      </c>
      <c r="H192" s="306">
        <f>'6-x'!AQ895</f>
        <v>0.41991702994863439</v>
      </c>
    </row>
    <row r="193" spans="1:16">
      <c r="A193" s="257" t="s">
        <v>18</v>
      </c>
      <c r="B193" s="262" t="str">
        <f>'6-x'!AK896</f>
        <v/>
      </c>
      <c r="C193" s="262">
        <f>'6-x'!AL896</f>
        <v>0.3643411982453329</v>
      </c>
      <c r="D193" s="262">
        <f>'6-x'!AM896</f>
        <v>0.39826087441361069</v>
      </c>
      <c r="E193" s="262">
        <f>'6-x'!AN896</f>
        <v>0.36604735115325054</v>
      </c>
      <c r="F193" s="262">
        <f>'6-x'!AO896</f>
        <v>0.10627181162513724</v>
      </c>
      <c r="G193" s="262">
        <f>'6-x'!AP896</f>
        <v>0.33865507202008088</v>
      </c>
      <c r="H193" s="306">
        <f>'6-x'!AQ896</f>
        <v>0.33179437558999003</v>
      </c>
    </row>
    <row r="194" spans="1:16">
      <c r="A194" s="257" t="s">
        <v>19</v>
      </c>
      <c r="B194" s="262" t="str">
        <f>'6-x'!AK897</f>
        <v/>
      </c>
      <c r="C194" s="262">
        <f>'6-x'!AL897</f>
        <v>0.29366298765675736</v>
      </c>
      <c r="D194" s="262" t="str">
        <f>'6-x'!AM897</f>
        <v/>
      </c>
      <c r="E194" s="262">
        <f>'6-x'!AN897</f>
        <v>0.22765295945432498</v>
      </c>
      <c r="F194" s="262" t="str">
        <f>'6-x'!AO897</f>
        <v/>
      </c>
      <c r="G194" s="262">
        <f>'6-x'!AP897</f>
        <v>0.27262055417215775</v>
      </c>
      <c r="H194" s="306">
        <f>'6-x'!AQ897</f>
        <v>0.2836907876450111</v>
      </c>
    </row>
    <row r="195" spans="1:16">
      <c r="A195" s="257" t="s">
        <v>20</v>
      </c>
      <c r="B195" s="262">
        <f>'6-x'!AK898</f>
        <v>0.36776955853677729</v>
      </c>
      <c r="C195" s="262">
        <f>'6-x'!AL898</f>
        <v>0.37979029499071798</v>
      </c>
      <c r="D195" s="262">
        <f>'6-x'!AM898</f>
        <v>0.3537002171365633</v>
      </c>
      <c r="E195" s="262">
        <f>'6-x'!AN898</f>
        <v>0.37384575124303721</v>
      </c>
      <c r="F195" s="262">
        <f>'6-x'!AO898</f>
        <v>0.19762013970558159</v>
      </c>
      <c r="G195" s="262" t="str">
        <f>'6-x'!AP898</f>
        <v/>
      </c>
      <c r="H195" s="306">
        <f>'6-x'!AQ898</f>
        <v>0.36237999883101413</v>
      </c>
    </row>
    <row r="196" spans="1:16">
      <c r="A196" s="257" t="s">
        <v>21</v>
      </c>
      <c r="B196" s="262" t="str">
        <f>'6-x'!AK899</f>
        <v/>
      </c>
      <c r="C196" s="262">
        <f>'6-x'!AL899</f>
        <v>0.5473235059573428</v>
      </c>
      <c r="D196" s="262" t="str">
        <f>'6-x'!AM899</f>
        <v/>
      </c>
      <c r="E196" s="262">
        <f>'6-x'!AN899</f>
        <v>0.20699211070269269</v>
      </c>
      <c r="F196" s="262">
        <f>'6-x'!AO899</f>
        <v>0.24180124517969223</v>
      </c>
      <c r="G196" s="262" t="str">
        <f>'6-x'!AP899</f>
        <v/>
      </c>
      <c r="H196" s="306">
        <f>'6-x'!AQ899</f>
        <v>0.54702663202796986</v>
      </c>
    </row>
    <row r="197" spans="1:16">
      <c r="A197" s="257" t="s">
        <v>23</v>
      </c>
      <c r="B197" s="262" t="str">
        <f>'6-x'!AK900</f>
        <v/>
      </c>
      <c r="C197" s="262">
        <f>'6-x'!AL900</f>
        <v>0.41062331798423379</v>
      </c>
      <c r="D197" s="262" t="str">
        <f>'6-x'!AM900</f>
        <v/>
      </c>
      <c r="E197" s="262">
        <f>'6-x'!AN900</f>
        <v>0.41679361505525231</v>
      </c>
      <c r="F197" s="262" t="str">
        <f>'6-x'!AO900</f>
        <v/>
      </c>
      <c r="G197" s="262" t="str">
        <f>'6-x'!AP900</f>
        <v/>
      </c>
      <c r="H197" s="306">
        <f>'6-x'!AQ900</f>
        <v>0.41130430561577208</v>
      </c>
    </row>
    <row r="198" spans="1:16">
      <c r="A198" s="258" t="s">
        <v>287</v>
      </c>
      <c r="B198" s="306">
        <f>'6-x'!AK901</f>
        <v>0.5087841584964411</v>
      </c>
      <c r="C198" s="306">
        <f>'6-x'!AL901</f>
        <v>0.52443936659819768</v>
      </c>
      <c r="D198" s="306">
        <f>'6-x'!AM901</f>
        <v>0.4188154182462015</v>
      </c>
      <c r="E198" s="306">
        <f>'6-x'!AN901</f>
        <v>0.4537456684331404</v>
      </c>
      <c r="F198" s="306">
        <f>'6-x'!AO901</f>
        <v>0.47768250484681762</v>
      </c>
      <c r="G198" s="306">
        <f>'6-x'!AP901</f>
        <v>0.44948494665098226</v>
      </c>
      <c r="H198" s="306">
        <f>'6-x'!AQ901</f>
        <v>0.5048443600091127</v>
      </c>
      <c r="J198" s="306">
        <f>'6-x'!AK918</f>
        <v>0.68977528324688153</v>
      </c>
      <c r="K198" s="306">
        <f>'6-x'!AL918</f>
        <v>0.60875587232331341</v>
      </c>
      <c r="L198" s="306">
        <f>'6-x'!AM918</f>
        <v>0.45581326574016062</v>
      </c>
      <c r="M198" s="306">
        <f>'6-x'!AN918</f>
        <v>0.66612068078926134</v>
      </c>
      <c r="N198" s="306">
        <f>'6-x'!AO918</f>
        <v>0.52723916767712931</v>
      </c>
      <c r="O198" s="306">
        <f>'6-x'!AP918</f>
        <v>0.62891796509595299</v>
      </c>
      <c r="P198" s="306">
        <f>'6-x'!AQ918</f>
        <v>0.60034616012298825</v>
      </c>
    </row>
    <row r="199" spans="1:16">
      <c r="A199" s="257" t="s">
        <v>25</v>
      </c>
      <c r="B199" s="262" t="str">
        <f>'6-x'!AK902</f>
        <v/>
      </c>
      <c r="C199" s="262">
        <f>'6-x'!AL902</f>
        <v>0.55473885668321632</v>
      </c>
      <c r="D199" s="262">
        <f>'6-x'!AM902</f>
        <v>0.39881504075092084</v>
      </c>
      <c r="E199" s="262">
        <f>'6-x'!AN902</f>
        <v>0.47244243288955234</v>
      </c>
      <c r="F199" s="262">
        <f>'6-x'!AO902</f>
        <v>0.53307205694915394</v>
      </c>
      <c r="G199" s="262">
        <f>'6-x'!AP902</f>
        <v>0.42461492733777056</v>
      </c>
      <c r="H199" s="306">
        <f>'6-x'!AQ902</f>
        <v>0.52686027094814558</v>
      </c>
      <c r="J199" s="262" t="str">
        <f>'6-x'!AK919</f>
        <v/>
      </c>
      <c r="K199" s="262">
        <f>'6-x'!AL919</f>
        <v>0.6818175523289749</v>
      </c>
      <c r="L199" s="262">
        <f>'6-x'!AM919</f>
        <v>0.40608414623298839</v>
      </c>
      <c r="M199" s="262">
        <f>'6-x'!AN919</f>
        <v>0.54975696211416636</v>
      </c>
      <c r="N199" s="262">
        <f>'6-x'!AO919</f>
        <v>0.60322564795479661</v>
      </c>
      <c r="O199" s="262">
        <f>'6-x'!AP919</f>
        <v>0.54329773272389914</v>
      </c>
      <c r="P199" s="306">
        <f>'6-x'!AQ919</f>
        <v>0.64649351308646352</v>
      </c>
    </row>
    <row r="200" spans="1:16">
      <c r="A200" s="257" t="s">
        <v>26</v>
      </c>
      <c r="B200" s="262" t="str">
        <f>'6-x'!AK903</f>
        <v/>
      </c>
      <c r="C200" s="262">
        <f>'6-x'!AL903</f>
        <v>0.5401037863435838</v>
      </c>
      <c r="D200" s="262" t="str">
        <f>'6-x'!AM903</f>
        <v/>
      </c>
      <c r="E200" s="262">
        <f>'6-x'!AN903</f>
        <v>0.55366724266515488</v>
      </c>
      <c r="F200" s="262">
        <f>'6-x'!AO903</f>
        <v>0.69008445253530126</v>
      </c>
      <c r="G200" s="262">
        <f>'6-x'!AP903</f>
        <v>0.31153812603586434</v>
      </c>
      <c r="H200" s="306">
        <f>'6-x'!AQ903</f>
        <v>0.54187566965075007</v>
      </c>
      <c r="J200" s="262" t="str">
        <f>'6-x'!AK920</f>
        <v/>
      </c>
      <c r="K200" s="262">
        <f>'6-x'!AL920</f>
        <v>0.69133567087437342</v>
      </c>
      <c r="L200" s="262" t="str">
        <f>'6-x'!AM920</f>
        <v/>
      </c>
      <c r="M200" s="262">
        <f>'6-x'!AN920</f>
        <v>0.73133691446676097</v>
      </c>
      <c r="N200" s="262">
        <f>'6-x'!AO920</f>
        <v>0.79844763077781133</v>
      </c>
      <c r="O200" s="262">
        <f>'6-x'!AP920</f>
        <v>0.45795356835769557</v>
      </c>
      <c r="P200" s="306">
        <f>'6-x'!AQ920</f>
        <v>0.69591560813699549</v>
      </c>
    </row>
    <row r="201" spans="1:16">
      <c r="A201" s="257" t="s">
        <v>27</v>
      </c>
      <c r="B201" s="262" t="str">
        <f>'6-x'!AK904</f>
        <v/>
      </c>
      <c r="C201" s="262">
        <f>'6-x'!AL904</f>
        <v>0.51985805795585582</v>
      </c>
      <c r="D201" s="262">
        <f>'6-x'!AM904</f>
        <v>0.43802609671879034</v>
      </c>
      <c r="E201" s="262">
        <f>'6-x'!AN904</f>
        <v>0.45858412152479217</v>
      </c>
      <c r="F201" s="262">
        <f>'6-x'!AO904</f>
        <v>0.57591776815739137</v>
      </c>
      <c r="G201" s="262">
        <f>'6-x'!AP904</f>
        <v>0.28035384018877907</v>
      </c>
      <c r="H201" s="306">
        <f>'6-x'!AQ904</f>
        <v>0.52080471345539836</v>
      </c>
      <c r="J201" s="262" t="str">
        <f>'6-x'!AK921</f>
        <v/>
      </c>
      <c r="K201" s="262">
        <f>'6-x'!AL921</f>
        <v>0.56626880785193512</v>
      </c>
      <c r="L201" s="262">
        <f>'6-x'!AM921</f>
        <v>0.47922801709300383</v>
      </c>
      <c r="M201" s="262">
        <f>'6-x'!AN921</f>
        <v>0.63029520824021912</v>
      </c>
      <c r="N201" s="262">
        <f>'6-x'!AO921</f>
        <v>0.58086281765197079</v>
      </c>
      <c r="O201" s="262">
        <f>'6-x'!AP921</f>
        <v>0.78798673381648454</v>
      </c>
      <c r="P201" s="306">
        <f>'6-x'!AQ921</f>
        <v>0.56619766633482826</v>
      </c>
    </row>
    <row r="202" spans="1:16">
      <c r="A202" s="257" t="s">
        <v>28</v>
      </c>
      <c r="B202" s="262">
        <f>'6-x'!AK905</f>
        <v>0.5087841584964411</v>
      </c>
      <c r="C202" s="262">
        <f>'6-x'!AL905</f>
        <v>0.66861992835068851</v>
      </c>
      <c r="D202" s="262">
        <f>'6-x'!AM905</f>
        <v>0.53142473909702437</v>
      </c>
      <c r="E202" s="262">
        <f>'6-x'!AN905</f>
        <v>0.68953105682356486</v>
      </c>
      <c r="F202" s="262">
        <f>'6-x'!AO905</f>
        <v>0.40482355360592531</v>
      </c>
      <c r="G202" s="262">
        <f>'6-x'!AP905</f>
        <v>0.38147525637044605</v>
      </c>
      <c r="H202" s="306">
        <f>'6-x'!AQ905</f>
        <v>0.56509620490483481</v>
      </c>
      <c r="J202" s="262">
        <f>'6-x'!AK922</f>
        <v>0.68977528324688153</v>
      </c>
      <c r="K202" s="262">
        <f>'6-x'!AL922</f>
        <v>0.84449966262262788</v>
      </c>
      <c r="L202" s="262">
        <f>'6-x'!AM922</f>
        <v>0.5531450492757457</v>
      </c>
      <c r="M202" s="262">
        <f>'6-x'!AN922</f>
        <v>0.84670564540638449</v>
      </c>
      <c r="N202" s="262">
        <f>'6-x'!AO922</f>
        <v>0.54451489448079715</v>
      </c>
      <c r="O202" s="262">
        <f>'6-x'!AP922</f>
        <v>0.64072961248997651</v>
      </c>
      <c r="P202" s="306">
        <f>'6-x'!AQ922</f>
        <v>0.78537044748060936</v>
      </c>
    </row>
    <row r="203" spans="1:16">
      <c r="A203" s="257" t="s">
        <v>29</v>
      </c>
      <c r="B203" s="262" t="str">
        <f>'6-x'!AK906</f>
        <v/>
      </c>
      <c r="C203" s="262">
        <f>'6-x'!AL906</f>
        <v>0.43735769474007397</v>
      </c>
      <c r="D203" s="262">
        <f>'6-x'!AM906</f>
        <v>0.27853748877842088</v>
      </c>
      <c r="E203" s="262">
        <f>'6-x'!AN906</f>
        <v>0.40160916761279103</v>
      </c>
      <c r="F203" s="262">
        <f>'6-x'!AO906</f>
        <v>0.27971542871144617</v>
      </c>
      <c r="G203" s="262">
        <f>'6-x'!AP906</f>
        <v>0.50579131050528559</v>
      </c>
      <c r="H203" s="306">
        <f>'6-x'!AQ906</f>
        <v>0.35819662064362157</v>
      </c>
      <c r="J203" s="262" t="str">
        <f>'6-x'!AK923</f>
        <v/>
      </c>
      <c r="K203" s="262">
        <f>'6-x'!AL923</f>
        <v>0.65686444438143266</v>
      </c>
      <c r="L203" s="262">
        <f>'6-x'!AM923</f>
        <v>0.27857789769336305</v>
      </c>
      <c r="M203" s="262">
        <f>'6-x'!AN923</f>
        <v>0.60017504291541468</v>
      </c>
      <c r="N203" s="262">
        <f>'6-x'!AO923</f>
        <v>0.41834209535639633</v>
      </c>
      <c r="O203" s="262">
        <f>'6-x'!AP923</f>
        <v>0.70316876704524467</v>
      </c>
      <c r="P203" s="306">
        <f>'6-x'!AQ923</f>
        <v>0.54624555250595574</v>
      </c>
    </row>
    <row r="204" spans="1:16">
      <c r="A204" s="368" t="s">
        <v>10</v>
      </c>
      <c r="B204" s="369">
        <f>'6-x'!AK907</f>
        <v>0.36902887538691292</v>
      </c>
      <c r="C204" s="369">
        <f>'6-x'!AL907</f>
        <v>0.50761202448789799</v>
      </c>
      <c r="D204" s="369">
        <f>'6-x'!AM907</f>
        <v>0.39346783462333884</v>
      </c>
      <c r="E204" s="369">
        <f>'6-x'!AN907</f>
        <v>0.3911103091993493</v>
      </c>
      <c r="F204" s="369">
        <f>'6-x'!AO907</f>
        <v>0.40469211663231924</v>
      </c>
      <c r="G204" s="369">
        <f>'6-x'!AP907</f>
        <v>0.35184021531813958</v>
      </c>
      <c r="H204" s="369">
        <f>'6-x'!AQ907</f>
        <v>0.44817267818507761</v>
      </c>
      <c r="J204" s="369">
        <f>'6-x'!AK924</f>
        <v>0.37307534458463459</v>
      </c>
      <c r="K204" s="369">
        <f>'6-x'!AL924</f>
        <v>0.55178588101628789</v>
      </c>
      <c r="L204" s="369">
        <f>'6-x'!AM924</f>
        <v>0.41788087338724605</v>
      </c>
      <c r="M204" s="369">
        <f>'6-x'!AN924</f>
        <v>0.46825714502879456</v>
      </c>
      <c r="N204" s="369">
        <f>'6-x'!AO924</f>
        <v>0.44916595809311355</v>
      </c>
      <c r="O204" s="369">
        <f>'6-x'!AP924</f>
        <v>0.39813556360883873</v>
      </c>
      <c r="P204" s="369">
        <f>'6-x'!AQ924</f>
        <v>0.49148351156239489</v>
      </c>
    </row>
    <row r="206" spans="1:16">
      <c r="B206" s="201"/>
      <c r="C206" s="201"/>
      <c r="D206" s="201"/>
      <c r="E206" s="201"/>
    </row>
    <row r="207" spans="1:16">
      <c r="B207" s="325"/>
      <c r="C207" s="325"/>
      <c r="D207" s="326"/>
      <c r="E207" s="326"/>
    </row>
  </sheetData>
  <mergeCells count="39">
    <mergeCell ref="B3:H3"/>
    <mergeCell ref="J3:P3"/>
    <mergeCell ref="R3:X3"/>
    <mergeCell ref="B5:H5"/>
    <mergeCell ref="J5:P5"/>
    <mergeCell ref="R5:X5"/>
    <mergeCell ref="J85:P85"/>
    <mergeCell ref="B103:H103"/>
    <mergeCell ref="B191:H191"/>
    <mergeCell ref="B141:H141"/>
    <mergeCell ref="B143:H143"/>
    <mergeCell ref="B159:H159"/>
    <mergeCell ref="J123:P123"/>
    <mergeCell ref="B123:H123"/>
    <mergeCell ref="B125:H125"/>
    <mergeCell ref="J125:P125"/>
    <mergeCell ref="B175:H175"/>
    <mergeCell ref="R43:X43"/>
    <mergeCell ref="R45:X45"/>
    <mergeCell ref="J103:P103"/>
    <mergeCell ref="B105:H105"/>
    <mergeCell ref="J105:P105"/>
    <mergeCell ref="B63:H63"/>
    <mergeCell ref="J63:P63"/>
    <mergeCell ref="B65:H65"/>
    <mergeCell ref="J65:P65"/>
    <mergeCell ref="B83:H83"/>
    <mergeCell ref="J83:P83"/>
    <mergeCell ref="B43:H43"/>
    <mergeCell ref="J43:P43"/>
    <mergeCell ref="B45:H45"/>
    <mergeCell ref="J45:P45"/>
    <mergeCell ref="B85:H85"/>
    <mergeCell ref="B23:H23"/>
    <mergeCell ref="J23:P23"/>
    <mergeCell ref="R23:X23"/>
    <mergeCell ref="B25:H25"/>
    <mergeCell ref="J25:P25"/>
    <mergeCell ref="R25:X25"/>
  </mergeCells>
  <hyperlinks>
    <hyperlink ref="A1" location="Indice!A1" display="Torna indietro" xr:uid="{00000000-0004-0000-19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6">
    <tabColor rgb="FFFF0000"/>
  </sheetPr>
  <dimension ref="A1:AO129"/>
  <sheetViews>
    <sheetView showGridLines="0" zoomScale="85" zoomScaleNormal="85" workbookViewId="0">
      <pane xSplit="3" ySplit="4" topLeftCell="Z5" activePane="bottomRight" state="frozen"/>
      <selection activeCell="Z17" sqref="Z17:AC23"/>
      <selection pane="topRight" activeCell="Z17" sqref="Z17:AC23"/>
      <selection pane="bottomLeft" activeCell="Z17" sqref="Z17:AC23"/>
      <selection pane="bottomRight" activeCell="Z17" sqref="Z17:AC23"/>
    </sheetView>
  </sheetViews>
  <sheetFormatPr defaultColWidth="8.77734375" defaultRowHeight="14.4"/>
  <cols>
    <col min="1" max="1" width="16.77734375" customWidth="1"/>
    <col min="2" max="3" width="10.77734375" customWidth="1"/>
    <col min="4" max="6" width="1.109375" customWidth="1"/>
    <col min="7" max="9" width="12.77734375" customWidth="1"/>
    <col min="10" max="10" width="21.33203125" customWidth="1"/>
    <col min="11" max="11" width="16.77734375" customWidth="1"/>
    <col min="12" max="21" width="11.109375" bestFit="1" customWidth="1"/>
    <col min="22" max="25" width="12.77734375" customWidth="1"/>
    <col min="26" max="26" width="13.21875" customWidth="1"/>
    <col min="27" max="30" width="12.77734375" customWidth="1"/>
    <col min="31" max="32" width="11.44140625" customWidth="1"/>
    <col min="33" max="33" width="13" customWidth="1"/>
    <col min="34" max="41" width="11.44140625" customWidth="1"/>
  </cols>
  <sheetData>
    <row r="1" spans="1:32" ht="15.6">
      <c r="A1" s="901" t="s">
        <v>57</v>
      </c>
      <c r="B1" s="901"/>
    </row>
    <row r="2" spans="1:32">
      <c r="AB2" s="451"/>
      <c r="AC2" s="451"/>
      <c r="AD2" s="451"/>
    </row>
    <row r="3" spans="1:32" s="2" customFormat="1" ht="15.6">
      <c r="A3" s="8" t="s">
        <v>15</v>
      </c>
      <c r="AB3" s="123"/>
      <c r="AC3" s="123"/>
      <c r="AD3" s="123"/>
    </row>
    <row r="4" spans="1:32" s="2" customFormat="1" ht="15.6">
      <c r="A4" s="334" t="s">
        <v>11</v>
      </c>
      <c r="B4" s="359">
        <v>1996</v>
      </c>
      <c r="C4" s="359">
        <v>1997</v>
      </c>
      <c r="D4" s="359">
        <v>1998</v>
      </c>
      <c r="E4" s="359">
        <v>1999</v>
      </c>
      <c r="F4" s="359">
        <v>2000</v>
      </c>
      <c r="G4" s="359">
        <v>2001</v>
      </c>
      <c r="H4" s="359">
        <v>2002</v>
      </c>
      <c r="I4" s="359">
        <v>2003</v>
      </c>
      <c r="J4" s="359">
        <v>2004</v>
      </c>
      <c r="K4" s="371">
        <v>2005</v>
      </c>
      <c r="L4" s="359">
        <v>2006</v>
      </c>
      <c r="M4" s="359">
        <v>2007</v>
      </c>
      <c r="N4" s="359">
        <v>2008</v>
      </c>
      <c r="O4" s="359">
        <v>2009</v>
      </c>
      <c r="P4" s="371">
        <v>2010</v>
      </c>
      <c r="Q4" s="359">
        <v>2011</v>
      </c>
      <c r="R4" s="359">
        <v>2012</v>
      </c>
      <c r="S4" s="359">
        <v>2013</v>
      </c>
      <c r="T4" s="359">
        <v>2014</v>
      </c>
      <c r="U4" s="371">
        <v>2015</v>
      </c>
      <c r="V4" s="371">
        <v>2016</v>
      </c>
      <c r="W4" s="371">
        <v>2017</v>
      </c>
      <c r="X4" s="371">
        <v>2018</v>
      </c>
      <c r="Y4" s="371">
        <v>2019</v>
      </c>
      <c r="Z4" s="371">
        <v>2020</v>
      </c>
      <c r="AA4" s="371">
        <v>2021</v>
      </c>
      <c r="AB4" s="371">
        <f>AA4+1</f>
        <v>2022</v>
      </c>
      <c r="AC4" s="371">
        <f>AB4+1</f>
        <v>2023</v>
      </c>
      <c r="AD4" s="796">
        <v>2024</v>
      </c>
      <c r="AE4" s="796">
        <f>AD4+1</f>
        <v>2025</v>
      </c>
    </row>
    <row r="5" spans="1:32" s="2" customFormat="1" ht="15.6">
      <c r="A5" s="334" t="s">
        <v>136</v>
      </c>
      <c r="B5" s="334"/>
      <c r="C5" s="334"/>
      <c r="D5" s="334"/>
      <c r="E5" s="334"/>
      <c r="F5" s="334"/>
      <c r="G5" s="334"/>
      <c r="H5" s="334"/>
      <c r="I5" s="334"/>
      <c r="J5" s="334"/>
      <c r="K5" s="334"/>
      <c r="L5" s="334"/>
      <c r="M5" s="334"/>
      <c r="N5" s="334"/>
      <c r="O5" s="334"/>
      <c r="P5" s="334"/>
      <c r="Q5" s="334"/>
      <c r="R5" s="334"/>
      <c r="S5" s="334"/>
      <c r="T5" s="334"/>
      <c r="U5" s="334"/>
      <c r="V5" s="334"/>
      <c r="W5" s="359"/>
      <c r="X5" s="359"/>
      <c r="Y5" s="359"/>
      <c r="Z5" s="359"/>
      <c r="AA5" s="359"/>
      <c r="AB5" s="359"/>
      <c r="AC5" s="359"/>
      <c r="AD5" s="359"/>
      <c r="AE5" s="143"/>
    </row>
    <row r="6" spans="1:32" s="2" customFormat="1" ht="15.6">
      <c r="A6" s="123" t="s">
        <v>5</v>
      </c>
      <c r="B6" s="372">
        <v>9.1900259999999996</v>
      </c>
      <c r="C6" s="372">
        <v>9.1983995999999983</v>
      </c>
      <c r="D6" s="372">
        <v>9.156531600000001</v>
      </c>
      <c r="E6" s="372">
        <v>9.1021032000000002</v>
      </c>
      <c r="F6" s="373">
        <v>9.6422004000000001</v>
      </c>
      <c r="G6" s="373">
        <v>9.4035527999999999</v>
      </c>
      <c r="H6" s="373">
        <v>9.6422004000000001</v>
      </c>
      <c r="I6" s="373">
        <v>9.5710248</v>
      </c>
      <c r="J6" s="373">
        <v>9.7343099999999989</v>
      </c>
      <c r="K6" s="373">
        <v>9.7552439999999994</v>
      </c>
      <c r="L6" s="373">
        <v>9.5835851999999999</v>
      </c>
      <c r="M6" s="373">
        <v>9.7971119999999985</v>
      </c>
      <c r="N6" s="373">
        <v>10.0022652</v>
      </c>
      <c r="O6" s="373">
        <v>9.6924419999999998</v>
      </c>
      <c r="P6" s="373">
        <v>9.4872888</v>
      </c>
      <c r="Q6" s="373">
        <v>9.3533112000000003</v>
      </c>
      <c r="R6" s="373">
        <v>9.2025863999999995</v>
      </c>
      <c r="S6" s="373">
        <v>9.3658716000000002</v>
      </c>
      <c r="T6" s="373">
        <v>9.3156299999999987</v>
      </c>
      <c r="U6" s="373">
        <v>9.5060000000000002</v>
      </c>
      <c r="V6" s="373">
        <v>9.4160000000000004</v>
      </c>
      <c r="W6" s="372">
        <v>9.2669999999999995</v>
      </c>
      <c r="X6" s="497">
        <v>9.375</v>
      </c>
      <c r="Y6" s="497">
        <v>9.5389999999999997</v>
      </c>
      <c r="Z6" s="497">
        <v>9.8620000000000001</v>
      </c>
      <c r="AA6" s="497">
        <v>10.43</v>
      </c>
      <c r="AB6" s="497">
        <v>10</v>
      </c>
      <c r="AC6" s="497">
        <v>9.82</v>
      </c>
      <c r="AD6" s="497">
        <f>AC6</f>
        <v>9.82</v>
      </c>
    </row>
    <row r="7" spans="1:32" s="2" customFormat="1" ht="15.6">
      <c r="A7" s="123" t="s">
        <v>6</v>
      </c>
      <c r="B7" s="372">
        <v>8.2982376000000002</v>
      </c>
      <c r="C7" s="372">
        <v>8.0554031999999989</v>
      </c>
      <c r="D7" s="372">
        <v>8.1349523999999995</v>
      </c>
      <c r="E7" s="372">
        <v>8.0386559999999996</v>
      </c>
      <c r="F7" s="373">
        <v>8.0763371999999993</v>
      </c>
      <c r="G7" s="373">
        <v>7.9716671999999997</v>
      </c>
      <c r="H7" s="373">
        <v>7.8460631999999997</v>
      </c>
      <c r="I7" s="373">
        <v>7.5822947999999997</v>
      </c>
      <c r="J7" s="373">
        <v>7.2222299999999997</v>
      </c>
      <c r="K7" s="373">
        <v>7.0924391999999994</v>
      </c>
      <c r="L7" s="373">
        <v>6.8914727999999998</v>
      </c>
      <c r="M7" s="373">
        <v>6.8621651999999997</v>
      </c>
      <c r="N7" s="373">
        <v>6.782616</v>
      </c>
      <c r="O7" s="373">
        <v>6.7574951999999993</v>
      </c>
      <c r="P7" s="373">
        <v>6.7491215999999996</v>
      </c>
      <c r="Q7" s="373">
        <v>6.6946931999999997</v>
      </c>
      <c r="R7" s="373">
        <v>6.7198139999999995</v>
      </c>
      <c r="S7" s="373">
        <v>6.4895399999999999</v>
      </c>
      <c r="T7" s="373">
        <v>6.5481552000000001</v>
      </c>
      <c r="U7" s="373">
        <v>6.3769999999999998</v>
      </c>
      <c r="V7" s="373">
        <v>6.37</v>
      </c>
      <c r="W7" s="372">
        <v>6.3929999999999998</v>
      </c>
      <c r="X7" s="497">
        <v>6.3869999999999996</v>
      </c>
      <c r="Y7" s="497">
        <v>6.3979999999999997</v>
      </c>
      <c r="Z7" s="497">
        <v>6.4180000000000001</v>
      </c>
      <c r="AA7" s="497">
        <v>6.3689999999999998</v>
      </c>
      <c r="AB7" s="497">
        <v>6.2729999999999997</v>
      </c>
      <c r="AC7" s="497">
        <v>6.2809999999999997</v>
      </c>
      <c r="AD7" s="497">
        <f t="shared" ref="AD7:AD23" si="0">AC7</f>
        <v>6.2809999999999997</v>
      </c>
    </row>
    <row r="8" spans="1:32" s="2" customFormat="1" ht="15.6">
      <c r="A8" s="123" t="s">
        <v>141</v>
      </c>
      <c r="B8" s="372">
        <v>10.4837472</v>
      </c>
      <c r="C8" s="372">
        <v>9.5082228000000004</v>
      </c>
      <c r="D8" s="372">
        <v>10.144616399999999</v>
      </c>
      <c r="E8" s="372">
        <v>10.019012399999999</v>
      </c>
      <c r="F8" s="373">
        <v>9.5291567999999991</v>
      </c>
      <c r="G8" s="373">
        <v>8.8006536000000004</v>
      </c>
      <c r="H8" s="373">
        <v>8.9346312000000001</v>
      </c>
      <c r="I8" s="373">
        <v>9.0727955999999992</v>
      </c>
      <c r="J8" s="373">
        <v>8.9136971999999997</v>
      </c>
      <c r="K8" s="373">
        <v>9.1481579999999987</v>
      </c>
      <c r="L8" s="373">
        <v>9.1858392000000002</v>
      </c>
      <c r="M8" s="373">
        <v>9.0351144000000012</v>
      </c>
      <c r="N8" s="373">
        <v>8.8508951999999983</v>
      </c>
      <c r="O8" s="373">
        <v>8.8425215999999995</v>
      </c>
      <c r="P8" s="373">
        <v>9.0560483999999999</v>
      </c>
      <c r="Q8" s="373">
        <v>8.9513783999999994</v>
      </c>
      <c r="R8" s="373">
        <v>8.7169175999999986</v>
      </c>
      <c r="S8" s="373">
        <v>8.6834232</v>
      </c>
      <c r="T8" s="373">
        <v>9.2570147999999985</v>
      </c>
      <c r="U8" s="373">
        <v>8.7029999999999994</v>
      </c>
      <c r="V8" s="373">
        <v>8.5630000000000006</v>
      </c>
      <c r="W8" s="372">
        <v>8.5020000000000007</v>
      </c>
      <c r="X8" s="497">
        <v>9.2390000000000008</v>
      </c>
      <c r="Y8" s="497">
        <v>8.3650000000000002</v>
      </c>
      <c r="Z8" s="497">
        <v>8.4860000000000007</v>
      </c>
      <c r="AA8" s="497">
        <v>9.4990000000000006</v>
      </c>
      <c r="AB8" s="497">
        <v>9.0129999999999999</v>
      </c>
      <c r="AC8" s="497">
        <v>8.4</v>
      </c>
      <c r="AD8" s="497">
        <f t="shared" si="0"/>
        <v>8.4</v>
      </c>
    </row>
    <row r="9" spans="1:32" s="2" customFormat="1" ht="15.6">
      <c r="A9" s="123" t="s">
        <v>137</v>
      </c>
      <c r="B9" s="372">
        <v>8.8090272000000009</v>
      </c>
      <c r="C9" s="372">
        <v>8.8090272000000009</v>
      </c>
      <c r="D9" s="372">
        <v>8.7713459999999994</v>
      </c>
      <c r="E9" s="372">
        <v>8.8843896000000004</v>
      </c>
      <c r="F9" s="373">
        <v>9.1690920000000009</v>
      </c>
      <c r="G9" s="373">
        <v>9.1021032000000002</v>
      </c>
      <c r="H9" s="373">
        <v>9.0393012000000006</v>
      </c>
      <c r="I9" s="373">
        <v>9.0560483999999999</v>
      </c>
      <c r="J9" s="373">
        <v>9.1397843999999999</v>
      </c>
      <c r="K9" s="373">
        <v>9.2067731999999989</v>
      </c>
      <c r="L9" s="373">
        <v>9.361684799999999</v>
      </c>
      <c r="M9" s="373">
        <v>9.6045191999999986</v>
      </c>
      <c r="N9" s="373">
        <v>9.4244867999999986</v>
      </c>
      <c r="O9" s="373">
        <v>9.7510572</v>
      </c>
      <c r="P9" s="373">
        <v>9.0937296000000014</v>
      </c>
      <c r="Q9" s="373">
        <v>8.8718292000000005</v>
      </c>
      <c r="R9" s="373">
        <v>9.7175627999999996</v>
      </c>
      <c r="S9" s="373">
        <v>8.6206212000000004</v>
      </c>
      <c r="T9" s="373">
        <v>9.4621680000000001</v>
      </c>
      <c r="U9" s="373">
        <v>8.56</v>
      </c>
      <c r="V9" s="373">
        <v>8.1289999999999996</v>
      </c>
      <c r="W9" s="372">
        <v>8.1539999999999999</v>
      </c>
      <c r="X9" s="497">
        <v>7.78</v>
      </c>
      <c r="Y9" s="497">
        <v>7.8129999999999997</v>
      </c>
      <c r="Z9" s="497">
        <v>7.5659999999999998</v>
      </c>
      <c r="AA9" s="497">
        <v>8.3919999999999995</v>
      </c>
      <c r="AB9" s="497">
        <v>8.1690000000000005</v>
      </c>
      <c r="AC9" s="497">
        <v>7.9770000000000003</v>
      </c>
      <c r="AD9" s="497">
        <f t="shared" si="0"/>
        <v>7.9770000000000003</v>
      </c>
    </row>
    <row r="10" spans="1:32" s="2" customFormat="1" ht="15.6">
      <c r="A10" s="123" t="s">
        <v>138</v>
      </c>
      <c r="B10" s="372">
        <v>0</v>
      </c>
      <c r="C10" s="372">
        <v>0</v>
      </c>
      <c r="D10" s="372">
        <v>0</v>
      </c>
      <c r="E10" s="902">
        <v>8.5661927999999996</v>
      </c>
      <c r="F10" s="903">
        <v>8.0888975999999992</v>
      </c>
      <c r="G10" s="373">
        <v>7.6409099999999999</v>
      </c>
      <c r="H10" s="373">
        <v>7.8460631999999997</v>
      </c>
      <c r="I10" s="373">
        <v>8.4573359999999997</v>
      </c>
      <c r="J10" s="373">
        <v>8.6834232</v>
      </c>
      <c r="K10" s="373">
        <v>8.8969499999999986</v>
      </c>
      <c r="L10" s="373">
        <v>9.3951792000000012</v>
      </c>
      <c r="M10" s="373">
        <v>9.6840683999999992</v>
      </c>
      <c r="N10" s="373">
        <v>9.2653883999999991</v>
      </c>
      <c r="O10" s="373">
        <v>9.3407508000000004</v>
      </c>
      <c r="P10" s="373">
        <v>9.9562103999999998</v>
      </c>
      <c r="Q10" s="373">
        <v>9.9813312000000014</v>
      </c>
      <c r="R10" s="373">
        <v>9.7887383999999997</v>
      </c>
      <c r="S10" s="373">
        <v>9.4496076000000002</v>
      </c>
      <c r="T10" s="373">
        <v>9.6003323999999992</v>
      </c>
      <c r="U10" s="373">
        <v>9.1839999999999993</v>
      </c>
      <c r="V10" s="373">
        <v>9.2530000000000001</v>
      </c>
      <c r="W10" s="372">
        <v>9.1630000000000003</v>
      </c>
      <c r="X10" s="497">
        <v>9.1709999999999994</v>
      </c>
      <c r="Y10" s="497">
        <v>9.3789999999999996</v>
      </c>
      <c r="Z10" s="497">
        <v>9.2409999999999997</v>
      </c>
      <c r="AA10" s="497">
        <v>9.8119999999999994</v>
      </c>
      <c r="AB10" s="497">
        <v>9.1790000000000003</v>
      </c>
      <c r="AC10" s="497">
        <v>9.484</v>
      </c>
      <c r="AD10" s="497">
        <f t="shared" si="0"/>
        <v>9.484</v>
      </c>
    </row>
    <row r="11" spans="1:32" s="2" customFormat="1" ht="15.6">
      <c r="A11" s="123" t="s">
        <v>139</v>
      </c>
      <c r="B11" s="372">
        <v>0</v>
      </c>
      <c r="C11" s="372">
        <v>0</v>
      </c>
      <c r="D11" s="372">
        <v>0</v>
      </c>
      <c r="E11" s="902"/>
      <c r="F11" s="903"/>
      <c r="G11" s="373">
        <v>10.2074184</v>
      </c>
      <c r="H11" s="373">
        <v>10.366516799999999</v>
      </c>
      <c r="I11" s="373">
        <v>10.299528</v>
      </c>
      <c r="J11" s="373">
        <v>10.3288356</v>
      </c>
      <c r="K11" s="373">
        <v>10.2325392</v>
      </c>
      <c r="L11" s="373">
        <v>10.726581599999999</v>
      </c>
      <c r="M11" s="373">
        <v>10.6051644</v>
      </c>
      <c r="N11" s="373">
        <v>10.211605199999999</v>
      </c>
      <c r="O11" s="373">
        <v>10.1236824</v>
      </c>
      <c r="P11" s="373">
        <v>9.7594308000000005</v>
      </c>
      <c r="Q11" s="373">
        <v>9.0727955999999992</v>
      </c>
      <c r="R11" s="373">
        <v>8.8550819999999995</v>
      </c>
      <c r="S11" s="373">
        <v>8.7001703999999993</v>
      </c>
      <c r="T11" s="373">
        <v>8.4280283999999988</v>
      </c>
      <c r="U11" s="373">
        <v>8.125</v>
      </c>
      <c r="V11" s="373">
        <v>8.1039999999999992</v>
      </c>
      <c r="W11" s="372">
        <v>8.0589999999999993</v>
      </c>
      <c r="X11" s="497">
        <v>8.0180000000000007</v>
      </c>
      <c r="Y11" s="497">
        <v>8.2469999999999999</v>
      </c>
      <c r="Z11" s="497">
        <v>8.173</v>
      </c>
      <c r="AA11" s="497">
        <v>8.1609999999999996</v>
      </c>
      <c r="AB11" s="497">
        <v>8.1929999999999996</v>
      </c>
      <c r="AC11" s="497">
        <v>8.1530000000000005</v>
      </c>
      <c r="AD11" s="497">
        <f t="shared" si="0"/>
        <v>8.1530000000000005</v>
      </c>
    </row>
    <row r="12" spans="1:32" s="2" customFormat="1" ht="15.6">
      <c r="A12" s="334" t="s">
        <v>10</v>
      </c>
      <c r="B12" s="374">
        <v>8.7504120000000007</v>
      </c>
      <c r="C12" s="374">
        <v>8.6373683999999997</v>
      </c>
      <c r="D12" s="374">
        <v>8.628994800000001</v>
      </c>
      <c r="E12" s="374">
        <v>8.5787531999999995</v>
      </c>
      <c r="F12" s="374">
        <v>8.7169175999999986</v>
      </c>
      <c r="G12" s="374">
        <v>8.5787531999999995</v>
      </c>
      <c r="H12" s="374">
        <v>8.5536323999999997</v>
      </c>
      <c r="I12" s="374">
        <v>8.3945340000000002</v>
      </c>
      <c r="J12" s="374">
        <v>8.2061280000000014</v>
      </c>
      <c r="K12" s="374">
        <v>8.0344692000000002</v>
      </c>
      <c r="L12" s="374">
        <v>7.9088651999999993</v>
      </c>
      <c r="M12" s="374">
        <v>7.8460631999999997</v>
      </c>
      <c r="N12" s="374">
        <v>7.7497667999999997</v>
      </c>
      <c r="O12" s="374">
        <v>7.7455800000000004</v>
      </c>
      <c r="P12" s="374">
        <v>7.6911516000000004</v>
      </c>
      <c r="Q12" s="374">
        <v>7.6911516000000004</v>
      </c>
      <c r="R12" s="374">
        <v>7.7832612000000001</v>
      </c>
      <c r="S12" s="374">
        <v>7.6869648000000002</v>
      </c>
      <c r="T12" s="374">
        <v>7.8376896</v>
      </c>
      <c r="U12" s="374">
        <v>7.5609999999999999</v>
      </c>
      <c r="V12" s="374">
        <v>7.37</v>
      </c>
      <c r="W12" s="374">
        <v>7.2450000000000001</v>
      </c>
      <c r="X12" s="498">
        <v>7.266</v>
      </c>
      <c r="Y12" s="498">
        <v>7.141</v>
      </c>
      <c r="Z12" s="498">
        <v>7.1139999999999999</v>
      </c>
      <c r="AA12" s="498">
        <v>7.1040000000000001</v>
      </c>
      <c r="AB12" s="498">
        <v>7.1360000000000001</v>
      </c>
      <c r="AC12" s="498">
        <v>7.0549999999999997</v>
      </c>
      <c r="AD12" s="497">
        <f t="shared" si="0"/>
        <v>7.0549999999999997</v>
      </c>
      <c r="AF12" s="557"/>
    </row>
    <row r="13" spans="1:32" s="2" customFormat="1" ht="15.6">
      <c r="A13" s="2" t="s">
        <v>95</v>
      </c>
      <c r="Y13" s="499"/>
      <c r="Z13" s="499"/>
      <c r="AA13" s="499"/>
      <c r="AB13" s="497"/>
      <c r="AC13" s="497"/>
      <c r="AD13" s="497"/>
    </row>
    <row r="14" spans="1:32" s="2" customFormat="1" ht="15.6">
      <c r="A14" s="8" t="s">
        <v>14</v>
      </c>
      <c r="V14" s="375"/>
      <c r="W14" s="375"/>
      <c r="X14" s="375"/>
      <c r="Y14" s="499"/>
      <c r="Z14" s="499"/>
      <c r="AA14" s="499"/>
      <c r="AB14" s="497"/>
      <c r="AC14" s="497"/>
      <c r="AD14" s="497"/>
    </row>
    <row r="15" spans="1:32" s="2" customFormat="1" ht="15.6">
      <c r="A15" s="904" t="s">
        <v>11</v>
      </c>
      <c r="B15" s="359">
        <v>1996</v>
      </c>
      <c r="C15" s="359">
        <v>1997</v>
      </c>
      <c r="D15" s="359">
        <v>1998</v>
      </c>
      <c r="E15" s="359">
        <v>1999</v>
      </c>
      <c r="F15" s="359">
        <v>2000</v>
      </c>
      <c r="G15" s="359">
        <v>2001</v>
      </c>
      <c r="H15" s="359">
        <v>2002</v>
      </c>
      <c r="I15" s="359">
        <v>2003</v>
      </c>
      <c r="J15" s="359">
        <v>2004</v>
      </c>
      <c r="K15" s="359">
        <v>2005</v>
      </c>
      <c r="L15" s="359">
        <v>2006</v>
      </c>
      <c r="M15" s="359">
        <v>2007</v>
      </c>
      <c r="N15" s="359">
        <v>2008</v>
      </c>
      <c r="O15" s="359">
        <v>2009</v>
      </c>
      <c r="P15" s="359">
        <v>2010</v>
      </c>
      <c r="Q15" s="359">
        <v>2011</v>
      </c>
      <c r="R15" s="359">
        <v>2012</v>
      </c>
      <c r="S15" s="359">
        <v>2013</v>
      </c>
      <c r="T15" s="359">
        <v>2014</v>
      </c>
      <c r="U15" s="359">
        <v>2015</v>
      </c>
      <c r="V15" s="359">
        <v>2016</v>
      </c>
      <c r="W15" s="359">
        <v>2017</v>
      </c>
      <c r="X15" s="359">
        <v>2018</v>
      </c>
      <c r="Y15" s="359">
        <v>2019</v>
      </c>
      <c r="Z15" s="359">
        <v>2020</v>
      </c>
      <c r="AA15" s="359">
        <v>2021</v>
      </c>
      <c r="AB15" s="359">
        <v>2022</v>
      </c>
      <c r="AC15" s="359">
        <f>AC4</f>
        <v>2023</v>
      </c>
      <c r="AD15" s="359">
        <f>AD4</f>
        <v>2024</v>
      </c>
    </row>
    <row r="16" spans="1:32" s="2" customFormat="1" ht="15.6">
      <c r="A16" s="904"/>
      <c r="B16" s="905" t="s">
        <v>136</v>
      </c>
      <c r="C16" s="905"/>
      <c r="D16" s="905"/>
      <c r="E16" s="905"/>
      <c r="F16" s="905"/>
      <c r="G16" s="905"/>
      <c r="H16" s="905"/>
      <c r="I16" s="905"/>
      <c r="J16" s="905"/>
      <c r="K16" s="905"/>
      <c r="L16" s="905"/>
      <c r="M16" s="905"/>
      <c r="N16" s="905"/>
      <c r="O16" s="905"/>
      <c r="P16" s="905"/>
      <c r="Q16" s="905"/>
      <c r="R16" s="905"/>
      <c r="S16" s="905"/>
      <c r="T16" s="905"/>
      <c r="U16" s="905"/>
      <c r="V16" s="905"/>
      <c r="W16" s="359"/>
      <c r="X16" s="359"/>
      <c r="Y16" s="500"/>
      <c r="Z16" s="500"/>
      <c r="AA16" s="500"/>
      <c r="AB16" s="500"/>
      <c r="AC16" s="500"/>
      <c r="AD16" s="497"/>
    </row>
    <row r="17" spans="1:33" s="2" customFormat="1" ht="15.6">
      <c r="A17" s="123" t="s">
        <v>5</v>
      </c>
      <c r="B17" s="372">
        <v>9.9394632000000005</v>
      </c>
      <c r="C17" s="372">
        <v>9.9478367999999993</v>
      </c>
      <c r="D17" s="372">
        <v>9.9645839999999986</v>
      </c>
      <c r="E17" s="372">
        <v>9.9897048000000002</v>
      </c>
      <c r="F17" s="373">
        <v>10.626098399999998</v>
      </c>
      <c r="G17" s="373">
        <v>10.3288356</v>
      </c>
      <c r="H17" s="373">
        <v>10.559109599999999</v>
      </c>
      <c r="I17" s="373">
        <v>10.4795604</v>
      </c>
      <c r="J17" s="373">
        <v>10.680526799999999</v>
      </c>
      <c r="K17" s="373">
        <v>10.730768399999999</v>
      </c>
      <c r="L17" s="373">
        <v>10.5423624</v>
      </c>
      <c r="M17" s="373">
        <v>10.789383599999999</v>
      </c>
      <c r="N17" s="373">
        <v>10.977789599999999</v>
      </c>
      <c r="O17" s="373">
        <v>10.730768399999999</v>
      </c>
      <c r="P17" s="373">
        <v>10.492120799999999</v>
      </c>
      <c r="Q17" s="373">
        <v>10.2911544</v>
      </c>
      <c r="R17" s="373">
        <v>10.115308799999999</v>
      </c>
      <c r="S17" s="373">
        <v>10.3539564</v>
      </c>
      <c r="T17" s="373">
        <v>10.266033599999998</v>
      </c>
      <c r="U17" s="373">
        <v>10.446</v>
      </c>
      <c r="V17" s="373">
        <v>10.352</v>
      </c>
      <c r="W17" s="372">
        <v>10.308</v>
      </c>
      <c r="X17" s="497">
        <v>10.426</v>
      </c>
      <c r="Y17" s="497">
        <v>10.941000000000001</v>
      </c>
      <c r="Z17" s="497">
        <v>11.422000000000001</v>
      </c>
      <c r="AA17" s="497">
        <v>11.244999999999999</v>
      </c>
      <c r="AB17" s="497">
        <v>11.109</v>
      </c>
      <c r="AC17" s="497">
        <v>10.956</v>
      </c>
      <c r="AD17" s="497">
        <f t="shared" si="0"/>
        <v>10.956</v>
      </c>
    </row>
    <row r="18" spans="1:33" s="2" customFormat="1" ht="15.6">
      <c r="A18" s="123" t="s">
        <v>6</v>
      </c>
      <c r="B18" s="372">
        <v>8.7294779999999985</v>
      </c>
      <c r="C18" s="372">
        <v>8.4322151999999999</v>
      </c>
      <c r="D18" s="372">
        <v>8.4950171999999995</v>
      </c>
      <c r="E18" s="372">
        <v>8.4029076000000007</v>
      </c>
      <c r="F18" s="373">
        <v>8.4364019999999993</v>
      </c>
      <c r="G18" s="373">
        <v>8.3107979999999984</v>
      </c>
      <c r="H18" s="373">
        <v>8.1726335999999993</v>
      </c>
      <c r="I18" s="373">
        <v>7.8753707999999998</v>
      </c>
      <c r="J18" s="373">
        <v>7.4734379999999998</v>
      </c>
      <c r="K18" s="373">
        <v>7.3185263999999997</v>
      </c>
      <c r="L18" s="373">
        <v>7.0966260000000005</v>
      </c>
      <c r="M18" s="373">
        <v>7.0547579999999996</v>
      </c>
      <c r="N18" s="373">
        <v>6.9710219999999996</v>
      </c>
      <c r="O18" s="373">
        <v>6.9584615999999997</v>
      </c>
      <c r="P18" s="373">
        <v>6.950088</v>
      </c>
      <c r="Q18" s="373">
        <v>6.8789123999999999</v>
      </c>
      <c r="R18" s="373">
        <v>6.9124067999999994</v>
      </c>
      <c r="S18" s="373">
        <v>6.6653855999999996</v>
      </c>
      <c r="T18" s="373">
        <v>6.7365611999999997</v>
      </c>
      <c r="U18" s="373">
        <v>6.5369999999999999</v>
      </c>
      <c r="V18" s="373">
        <v>6.5179999999999998</v>
      </c>
      <c r="W18" s="372">
        <v>6.5469999999999997</v>
      </c>
      <c r="X18" s="497">
        <v>6.5430000000000001</v>
      </c>
      <c r="Y18" s="497">
        <v>6.56</v>
      </c>
      <c r="Z18" s="497">
        <v>6.5780000000000003</v>
      </c>
      <c r="AA18" s="497">
        <v>6.532</v>
      </c>
      <c r="AB18" s="497">
        <v>6.4180000000000001</v>
      </c>
      <c r="AC18" s="497">
        <v>6.4320000000000004</v>
      </c>
      <c r="AD18" s="497">
        <f t="shared" si="0"/>
        <v>6.4320000000000004</v>
      </c>
    </row>
    <row r="19" spans="1:33" s="2" customFormat="1" ht="15.6">
      <c r="A19" s="123" t="s">
        <v>141</v>
      </c>
      <c r="B19" s="372">
        <v>11.254118399999999</v>
      </c>
      <c r="C19" s="372">
        <v>10.086001199999998</v>
      </c>
      <c r="D19" s="372">
        <v>10.7349552</v>
      </c>
      <c r="E19" s="372">
        <v>10.5549228</v>
      </c>
      <c r="F19" s="373">
        <v>9.7887383999999997</v>
      </c>
      <c r="G19" s="373">
        <v>8.9890596000000009</v>
      </c>
      <c r="H19" s="373">
        <v>9.2653883999999991</v>
      </c>
      <c r="I19" s="373">
        <v>9.4119264000000005</v>
      </c>
      <c r="J19" s="373">
        <v>9.2402675999999992</v>
      </c>
      <c r="K19" s="373">
        <v>9.4998491999999999</v>
      </c>
      <c r="L19" s="373">
        <v>9.541717199999999</v>
      </c>
      <c r="M19" s="373">
        <v>9.3114431999999994</v>
      </c>
      <c r="N19" s="373">
        <v>9.1021032000000002</v>
      </c>
      <c r="O19" s="373">
        <v>9.0979164000000008</v>
      </c>
      <c r="P19" s="373">
        <v>9.3533112000000003</v>
      </c>
      <c r="Q19" s="373">
        <v>9.0811691999999997</v>
      </c>
      <c r="R19" s="373">
        <v>9.2612015999999997</v>
      </c>
      <c r="S19" s="373">
        <v>9.3240035999999993</v>
      </c>
      <c r="T19" s="373">
        <v>9.9185291999999983</v>
      </c>
      <c r="U19" s="373">
        <v>9.2249999999999996</v>
      </c>
      <c r="V19" s="373">
        <v>9.0630000000000006</v>
      </c>
      <c r="W19" s="372">
        <v>8.9990000000000006</v>
      </c>
      <c r="X19" s="497">
        <v>9.7590000000000003</v>
      </c>
      <c r="Y19" s="497">
        <v>8.8109999999999999</v>
      </c>
      <c r="Z19" s="497">
        <v>8.9260000000000002</v>
      </c>
      <c r="AA19" s="497">
        <v>10.018000000000001</v>
      </c>
      <c r="AB19" s="497">
        <v>9.5169999999999995</v>
      </c>
      <c r="AC19" s="497">
        <v>8.8219999999999992</v>
      </c>
      <c r="AD19" s="497">
        <f t="shared" si="0"/>
        <v>8.8219999999999992</v>
      </c>
    </row>
    <row r="20" spans="1:33" s="2" customFormat="1" ht="15.6">
      <c r="A20" s="123" t="s">
        <v>137</v>
      </c>
      <c r="B20" s="372">
        <v>9.3491243999999991</v>
      </c>
      <c r="C20" s="372">
        <v>9.361684799999999</v>
      </c>
      <c r="D20" s="372">
        <v>9.3491243999999991</v>
      </c>
      <c r="E20" s="372">
        <v>9.4789151999999994</v>
      </c>
      <c r="F20" s="373">
        <v>9.7719912000000004</v>
      </c>
      <c r="G20" s="373">
        <v>9.721749599999999</v>
      </c>
      <c r="H20" s="373">
        <v>9.6589475999999994</v>
      </c>
      <c r="I20" s="373">
        <v>9.6840683999999992</v>
      </c>
      <c r="J20" s="373">
        <v>9.7887383999999997</v>
      </c>
      <c r="K20" s="373">
        <v>9.9562103999999998</v>
      </c>
      <c r="L20" s="373">
        <v>10.1194956</v>
      </c>
      <c r="M20" s="373">
        <v>10.5214284</v>
      </c>
      <c r="N20" s="373">
        <v>10.383263999999999</v>
      </c>
      <c r="O20" s="373">
        <v>10.806130799999998</v>
      </c>
      <c r="P20" s="373">
        <v>10.090187999999999</v>
      </c>
      <c r="Q20" s="373">
        <v>9.8515403999999993</v>
      </c>
      <c r="R20" s="373">
        <v>10.680526799999999</v>
      </c>
      <c r="S20" s="373">
        <v>9.5333436000000003</v>
      </c>
      <c r="T20" s="373">
        <v>10.5549228</v>
      </c>
      <c r="U20" s="373">
        <v>9.4440000000000008</v>
      </c>
      <c r="V20" s="373">
        <v>8.7669999999999995</v>
      </c>
      <c r="W20" s="372">
        <v>8.8650000000000002</v>
      </c>
      <c r="X20" s="497">
        <v>8.3520000000000003</v>
      </c>
      <c r="Y20" s="497">
        <v>8.3670000000000009</v>
      </c>
      <c r="Z20" s="497">
        <v>8.0500000000000007</v>
      </c>
      <c r="AA20" s="497">
        <v>9.0519999999999996</v>
      </c>
      <c r="AB20" s="497">
        <v>8.8070000000000004</v>
      </c>
      <c r="AC20" s="497">
        <v>8.516</v>
      </c>
      <c r="AD20" s="497">
        <f t="shared" si="0"/>
        <v>8.516</v>
      </c>
    </row>
    <row r="21" spans="1:33" s="2" customFormat="1" ht="15.6">
      <c r="A21" s="123" t="s">
        <v>138</v>
      </c>
      <c r="B21" s="372">
        <v>0</v>
      </c>
      <c r="C21" s="372">
        <v>0</v>
      </c>
      <c r="D21" s="372">
        <v>0</v>
      </c>
      <c r="E21" s="902">
        <v>9.2988827999999994</v>
      </c>
      <c r="F21" s="903">
        <v>8.5201379999999993</v>
      </c>
      <c r="G21" s="373">
        <v>7.9297991999999997</v>
      </c>
      <c r="H21" s="373">
        <v>8.1098315999999997</v>
      </c>
      <c r="I21" s="373">
        <v>8.7629724000000007</v>
      </c>
      <c r="J21" s="373">
        <v>8.9890596000000009</v>
      </c>
      <c r="K21" s="373">
        <v>9.2318940000000005</v>
      </c>
      <c r="L21" s="373">
        <v>9.7426835999999994</v>
      </c>
      <c r="M21" s="373">
        <v>10.0608804</v>
      </c>
      <c r="N21" s="373">
        <v>9.6212663999999997</v>
      </c>
      <c r="O21" s="373">
        <v>9.7468704000000006</v>
      </c>
      <c r="P21" s="373">
        <v>10.3372092</v>
      </c>
      <c r="Q21" s="373">
        <v>10.4083848</v>
      </c>
      <c r="R21" s="373">
        <v>10.211605199999999</v>
      </c>
      <c r="S21" s="373">
        <v>9.9352763999999993</v>
      </c>
      <c r="T21" s="373">
        <v>10.1236824</v>
      </c>
      <c r="U21" s="373">
        <v>9.7439999999999998</v>
      </c>
      <c r="V21" s="373">
        <v>9.8729999999999993</v>
      </c>
      <c r="W21" s="372">
        <v>9.7970000000000006</v>
      </c>
      <c r="X21" s="497">
        <v>9.8059999999999992</v>
      </c>
      <c r="Y21" s="497">
        <v>10.083</v>
      </c>
      <c r="Z21" s="497">
        <v>9.8819999999999997</v>
      </c>
      <c r="AA21" s="497">
        <v>10.611000000000001</v>
      </c>
      <c r="AB21" s="497">
        <v>9.8179999999999996</v>
      </c>
      <c r="AC21" s="497">
        <v>10.221</v>
      </c>
      <c r="AD21" s="497">
        <f t="shared" si="0"/>
        <v>10.221</v>
      </c>
    </row>
    <row r="22" spans="1:33" s="2" customFormat="1" ht="15.6">
      <c r="A22" s="123" t="s">
        <v>139</v>
      </c>
      <c r="B22" s="372">
        <v>0</v>
      </c>
      <c r="C22" s="372">
        <v>0</v>
      </c>
      <c r="D22" s="372">
        <v>0</v>
      </c>
      <c r="E22" s="902"/>
      <c r="F22" s="903"/>
      <c r="G22" s="373">
        <v>10.7098344</v>
      </c>
      <c r="H22" s="373">
        <v>10.986163199999998</v>
      </c>
      <c r="I22" s="373">
        <v>10.776823199999999</v>
      </c>
      <c r="J22" s="373">
        <v>10.7684496</v>
      </c>
      <c r="K22" s="373">
        <v>10.693087200000001</v>
      </c>
      <c r="L22" s="373">
        <v>11.178756</v>
      </c>
      <c r="M22" s="373">
        <v>11.149448399999999</v>
      </c>
      <c r="N22" s="373">
        <v>10.655405999999999</v>
      </c>
      <c r="O22" s="373">
        <v>10.6051644</v>
      </c>
      <c r="P22" s="373">
        <v>10.199044799999999</v>
      </c>
      <c r="Q22" s="373">
        <v>9.6756947999999987</v>
      </c>
      <c r="R22" s="373">
        <v>9.5082228000000004</v>
      </c>
      <c r="S22" s="373">
        <v>9.3951792000000012</v>
      </c>
      <c r="T22" s="373">
        <v>9.1146636000000001</v>
      </c>
      <c r="U22" s="373">
        <v>8.8179999999999996</v>
      </c>
      <c r="V22" s="373">
        <v>8.8030000000000008</v>
      </c>
      <c r="W22" s="372">
        <v>8.7609999999999992</v>
      </c>
      <c r="X22" s="497">
        <v>8.7189999999999994</v>
      </c>
      <c r="Y22" s="497">
        <v>8.9589999999999996</v>
      </c>
      <c r="Z22" s="497">
        <v>8.8829999999999991</v>
      </c>
      <c r="AA22" s="497">
        <v>8.8829999999999991</v>
      </c>
      <c r="AB22" s="497">
        <v>8.9390000000000001</v>
      </c>
      <c r="AC22" s="497">
        <v>8.93</v>
      </c>
      <c r="AD22" s="497">
        <f t="shared" si="0"/>
        <v>8.93</v>
      </c>
    </row>
    <row r="23" spans="1:33" s="2" customFormat="1" ht="15.6">
      <c r="A23" s="334" t="s">
        <v>10</v>
      </c>
      <c r="B23" s="374">
        <v>9.2863223999999995</v>
      </c>
      <c r="C23" s="374">
        <v>9.1523447999999981</v>
      </c>
      <c r="D23" s="374">
        <v>9.1523447999999981</v>
      </c>
      <c r="E23" s="374">
        <v>9.1021032000000002</v>
      </c>
      <c r="F23" s="374">
        <v>9.2360807999999999</v>
      </c>
      <c r="G23" s="374">
        <v>9.0811691999999997</v>
      </c>
      <c r="H23" s="374">
        <v>9.0518616000000005</v>
      </c>
      <c r="I23" s="374">
        <v>8.8592688000000006</v>
      </c>
      <c r="J23" s="374">
        <v>8.6415551999999991</v>
      </c>
      <c r="K23" s="374">
        <v>8.4405887999999987</v>
      </c>
      <c r="L23" s="374">
        <v>8.2898639999999997</v>
      </c>
      <c r="M23" s="374">
        <v>8.2103148000000008</v>
      </c>
      <c r="N23" s="374">
        <v>8.0972711999999998</v>
      </c>
      <c r="O23" s="374">
        <v>8.126578799999999</v>
      </c>
      <c r="P23" s="374">
        <v>8.0512163999999995</v>
      </c>
      <c r="Q23" s="374">
        <v>8.042842799999999</v>
      </c>
      <c r="R23" s="374">
        <v>8.1684467999999999</v>
      </c>
      <c r="S23" s="374">
        <v>8.0888975999999992</v>
      </c>
      <c r="T23" s="374">
        <v>8.2647431999999998</v>
      </c>
      <c r="U23" s="374">
        <v>7.94</v>
      </c>
      <c r="V23" s="374">
        <v>7.702</v>
      </c>
      <c r="W23" s="374">
        <v>7.5759999999999996</v>
      </c>
      <c r="X23" s="498">
        <v>7.5949999999999998</v>
      </c>
      <c r="Y23" s="498">
        <v>7.4589999999999996</v>
      </c>
      <c r="Z23" s="563">
        <v>7.4160000000000004</v>
      </c>
      <c r="AA23" s="563">
        <v>7.3940000000000001</v>
      </c>
      <c r="AB23" s="498">
        <v>7.43</v>
      </c>
      <c r="AC23" s="498">
        <v>7.343</v>
      </c>
      <c r="AD23" s="497">
        <f t="shared" si="0"/>
        <v>7.343</v>
      </c>
      <c r="AF23" s="557"/>
    </row>
    <row r="24" spans="1:33" ht="15.6">
      <c r="A24" s="123" t="s">
        <v>98</v>
      </c>
      <c r="AB24" s="451"/>
      <c r="AC24" s="451"/>
      <c r="AD24" s="451"/>
      <c r="AG24" s="256"/>
    </row>
    <row r="25" spans="1:33" ht="15.6">
      <c r="A25" s="123" t="s">
        <v>140</v>
      </c>
      <c r="AB25" s="451"/>
      <c r="AC25" s="451"/>
      <c r="AD25" s="451"/>
      <c r="AG25" s="256"/>
    </row>
    <row r="26" spans="1:33">
      <c r="B26" s="144"/>
      <c r="C26" s="144"/>
      <c r="D26" s="144"/>
      <c r="E26" s="144"/>
      <c r="F26" s="144"/>
      <c r="G26" s="144"/>
      <c r="H26" s="144"/>
      <c r="I26" s="144"/>
      <c r="J26" s="144"/>
      <c r="K26" s="144"/>
      <c r="L26" s="144"/>
      <c r="M26" s="144"/>
      <c r="N26" s="144"/>
      <c r="O26" s="144"/>
      <c r="P26" s="144"/>
      <c r="Q26" s="144"/>
      <c r="R26" s="144"/>
      <c r="S26" s="144"/>
      <c r="T26" s="144"/>
      <c r="AB26" s="451"/>
      <c r="AC26" s="451"/>
      <c r="AD26" s="451"/>
    </row>
    <row r="27" spans="1:33">
      <c r="B27" s="144"/>
      <c r="C27" s="144"/>
      <c r="D27" s="144"/>
      <c r="E27" s="144"/>
      <c r="F27" s="144"/>
      <c r="G27" s="144"/>
      <c r="H27" s="144"/>
      <c r="I27" s="144"/>
      <c r="J27" s="144"/>
      <c r="K27" s="144"/>
      <c r="L27" s="144"/>
      <c r="M27" s="144"/>
      <c r="N27" s="144"/>
      <c r="O27" s="144"/>
      <c r="P27" s="144"/>
      <c r="Q27" s="144"/>
      <c r="R27" s="144"/>
      <c r="S27" s="144"/>
      <c r="T27" s="144"/>
      <c r="AB27" s="451"/>
      <c r="AC27" s="451"/>
      <c r="AD27" s="451"/>
      <c r="AG27" s="256"/>
    </row>
    <row r="28" spans="1:33">
      <c r="D28" s="144"/>
      <c r="E28" s="144"/>
      <c r="F28" s="144"/>
      <c r="G28" s="144"/>
      <c r="H28" s="144"/>
      <c r="I28" s="144"/>
      <c r="J28" s="144"/>
      <c r="K28" s="144"/>
      <c r="L28" s="144"/>
      <c r="M28" s="144"/>
      <c r="N28" s="144"/>
      <c r="O28" s="144"/>
      <c r="P28" s="144"/>
      <c r="Q28" s="144"/>
      <c r="R28" s="144"/>
      <c r="S28" s="144"/>
      <c r="T28" s="144"/>
      <c r="AB28" s="451"/>
      <c r="AC28" s="451"/>
      <c r="AD28" s="451"/>
    </row>
    <row r="29" spans="1:33">
      <c r="D29" s="144"/>
      <c r="E29" s="144"/>
      <c r="F29" s="144"/>
      <c r="G29" s="144"/>
      <c r="H29" s="144"/>
      <c r="I29" s="144"/>
      <c r="J29" s="144"/>
      <c r="K29" s="144"/>
      <c r="L29" s="144"/>
      <c r="M29" s="144"/>
      <c r="N29" s="144"/>
      <c r="O29" s="144"/>
      <c r="P29" s="144"/>
      <c r="Q29" s="144"/>
      <c r="R29" s="144"/>
      <c r="S29" s="144"/>
      <c r="T29" s="144"/>
      <c r="AB29" s="451"/>
      <c r="AC29" s="451"/>
      <c r="AD29" s="451"/>
    </row>
    <row r="30" spans="1:33">
      <c r="D30" s="144"/>
      <c r="E30" s="144"/>
      <c r="F30" s="144"/>
      <c r="G30" s="144"/>
      <c r="H30" s="144"/>
      <c r="I30" s="144"/>
      <c r="J30" s="144"/>
      <c r="K30" s="407"/>
      <c r="L30" s="407"/>
      <c r="M30" s="407"/>
      <c r="N30" s="407"/>
      <c r="O30" s="407"/>
      <c r="P30" s="407"/>
      <c r="Q30" s="407"/>
      <c r="R30" s="407"/>
      <c r="S30" s="407"/>
      <c r="T30" s="407"/>
      <c r="U30" s="407"/>
      <c r="V30" s="407"/>
      <c r="W30" s="407"/>
      <c r="X30" s="407"/>
      <c r="AB30" s="451"/>
      <c r="AC30" s="451"/>
      <c r="AD30" s="451"/>
    </row>
    <row r="31" spans="1:33">
      <c r="D31" s="144"/>
      <c r="E31" s="144"/>
      <c r="F31" s="144"/>
      <c r="G31" s="144"/>
      <c r="H31" s="144"/>
      <c r="I31" s="144"/>
      <c r="J31" s="144"/>
      <c r="K31" s="200"/>
      <c r="L31" s="200"/>
      <c r="M31" s="200"/>
      <c r="N31" s="200"/>
      <c r="O31" s="200"/>
      <c r="P31" s="200"/>
      <c r="Q31" s="200"/>
      <c r="R31" s="200"/>
      <c r="S31" s="200"/>
      <c r="T31" s="200"/>
      <c r="U31" s="200"/>
      <c r="V31" s="200"/>
      <c r="W31" s="200"/>
      <c r="X31" s="200"/>
      <c r="Y31" s="618"/>
      <c r="Z31" s="618"/>
      <c r="AA31" s="618"/>
      <c r="AB31" s="653"/>
      <c r="AC31" s="653"/>
      <c r="AD31" s="653"/>
    </row>
    <row r="32" spans="1:33">
      <c r="D32" s="144"/>
      <c r="E32" s="144"/>
      <c r="F32" s="144"/>
      <c r="G32" s="144"/>
      <c r="H32" s="144"/>
      <c r="I32" s="376" t="s">
        <v>182</v>
      </c>
      <c r="J32" s="376"/>
      <c r="K32" s="377">
        <v>251956.30000000002</v>
      </c>
      <c r="L32" s="377">
        <v>261137.40000000002</v>
      </c>
      <c r="M32" s="377">
        <v>264743.10000000003</v>
      </c>
      <c r="N32" s="377">
        <v>260412.00000000003</v>
      </c>
      <c r="O32" s="377">
        <v>226035.90000000002</v>
      </c>
      <c r="P32" s="377">
        <v>230470.8</v>
      </c>
      <c r="Q32" s="377">
        <v>227709.4</v>
      </c>
      <c r="R32" s="377">
        <v>216810.8</v>
      </c>
      <c r="S32" s="377">
        <v>192234.7</v>
      </c>
      <c r="T32" s="377">
        <v>175509.80000000002</v>
      </c>
      <c r="U32" s="377">
        <v>191458.2</v>
      </c>
      <c r="V32" s="377">
        <v>198694</v>
      </c>
      <c r="W32" s="377">
        <v>208823.50000000003</v>
      </c>
      <c r="X32" s="377">
        <v>192128.82418432002</v>
      </c>
      <c r="Y32" s="377">
        <v>195084.02998637001</v>
      </c>
      <c r="Z32" s="377">
        <v>180805.10138134996</v>
      </c>
      <c r="AA32" s="377">
        <v>189132.25636032</v>
      </c>
      <c r="AB32" s="377">
        <v>198515.14072983002</v>
      </c>
      <c r="AC32" s="377">
        <v>161974.30795860477</v>
      </c>
      <c r="AD32" s="377">
        <v>151959.0435238849</v>
      </c>
      <c r="AF32" s="144" t="str">
        <f>I32</f>
        <v>GWh lordi</v>
      </c>
    </row>
    <row r="33" spans="1:41">
      <c r="I33" s="195" t="s">
        <v>183</v>
      </c>
      <c r="J33" s="195"/>
      <c r="K33" s="546">
        <v>48339.4</v>
      </c>
      <c r="L33" s="546">
        <v>49336.200000000004</v>
      </c>
      <c r="M33" s="546">
        <v>49614.200000000004</v>
      </c>
      <c r="N33" s="546">
        <v>48198</v>
      </c>
      <c r="O33" s="546">
        <v>41824</v>
      </c>
      <c r="P33" s="546">
        <v>42341.900000000009</v>
      </c>
      <c r="Q33" s="546">
        <v>41829.699999999997</v>
      </c>
      <c r="R33" s="546">
        <v>40299.599999999999</v>
      </c>
      <c r="S33" s="546">
        <v>35294.800000000003</v>
      </c>
      <c r="T33" s="546">
        <v>32856.200000000004</v>
      </c>
      <c r="U33" s="546">
        <v>34577.5</v>
      </c>
      <c r="V33" s="546">
        <v>34976.700000000004</v>
      </c>
      <c r="W33" s="546">
        <v>36137.511404805635</v>
      </c>
      <c r="X33" s="546">
        <v>33341.207676315105</v>
      </c>
      <c r="Y33" s="546">
        <v>33271.505547168948</v>
      </c>
      <c r="Z33" s="546">
        <v>30723.379358864331</v>
      </c>
      <c r="AA33" s="546">
        <v>32092.747883120643</v>
      </c>
      <c r="AB33" s="546">
        <v>33836.493293786189</v>
      </c>
      <c r="AC33" s="546">
        <v>27295.463315059136</v>
      </c>
      <c r="AD33" s="546">
        <v>24817.983396012536</v>
      </c>
      <c r="AF33" s="144" t="str">
        <f t="shared" ref="AF33:AF38" si="1">I33</f>
        <v>ktep elettrici</v>
      </c>
    </row>
    <row r="34" spans="1:41">
      <c r="I34" s="195" t="s">
        <v>187</v>
      </c>
      <c r="J34" s="195"/>
      <c r="K34" s="546">
        <v>53462.9</v>
      </c>
      <c r="L34" s="546">
        <v>54922.9</v>
      </c>
      <c r="M34" s="546">
        <v>55067.900000000009</v>
      </c>
      <c r="N34" s="546">
        <v>53498.400000000001</v>
      </c>
      <c r="O34" s="546">
        <v>46759.6</v>
      </c>
      <c r="P34" s="546">
        <v>47761.799999999996</v>
      </c>
      <c r="Q34" s="546">
        <v>47675</v>
      </c>
      <c r="R34" s="546">
        <v>45667.4</v>
      </c>
      <c r="S34" s="546">
        <v>41098.899999999994</v>
      </c>
      <c r="T34" s="546">
        <v>38296</v>
      </c>
      <c r="U34" s="546">
        <v>40343.200000000004</v>
      </c>
      <c r="V34" s="546">
        <v>40885.100000000006</v>
      </c>
      <c r="W34" s="546">
        <v>42043.923323247815</v>
      </c>
      <c r="X34" s="546">
        <v>39108.856541579611</v>
      </c>
      <c r="Y34" s="546">
        <v>39096.751160193686</v>
      </c>
      <c r="Z34" s="546">
        <v>36458.602351759473</v>
      </c>
      <c r="AA34" s="546">
        <v>37645.36863428761</v>
      </c>
      <c r="AB34" s="546">
        <v>39315.750742906217</v>
      </c>
      <c r="AC34" s="546">
        <v>32240.206337246622</v>
      </c>
      <c r="AD34" s="546">
        <v>29694.486196237474</v>
      </c>
      <c r="AF34" s="144" t="str">
        <f t="shared" si="1"/>
        <v>ktep totali (+calore)</v>
      </c>
    </row>
    <row r="35" spans="1:41">
      <c r="I35" s="195"/>
      <c r="J35" s="195"/>
      <c r="K35" s="195"/>
      <c r="L35" s="195"/>
      <c r="M35" s="195"/>
      <c r="N35" s="195"/>
      <c r="O35" s="195"/>
      <c r="P35" s="195"/>
      <c r="Q35" s="195"/>
      <c r="R35" s="195"/>
      <c r="S35" s="195"/>
      <c r="T35" s="195"/>
      <c r="U35" s="378"/>
      <c r="V35" s="195"/>
      <c r="W35" s="195"/>
      <c r="X35" s="437"/>
      <c r="Y35" s="437"/>
      <c r="Z35" s="437"/>
      <c r="AA35" s="437"/>
      <c r="AB35" s="437"/>
      <c r="AC35" s="437"/>
      <c r="AD35" s="437"/>
      <c r="AF35" s="144"/>
    </row>
    <row r="36" spans="1:41">
      <c r="I36" s="195" t="s">
        <v>186</v>
      </c>
      <c r="J36" s="195"/>
      <c r="K36" s="379">
        <f>K33*41.868/1000</f>
        <v>2023.8739992000003</v>
      </c>
      <c r="L36" s="379">
        <f t="shared" ref="L36:T36" si="2">L33*41.868/1000</f>
        <v>2065.6080216000005</v>
      </c>
      <c r="M36" s="379">
        <f t="shared" si="2"/>
        <v>2077.2473256000003</v>
      </c>
      <c r="N36" s="379">
        <f t="shared" si="2"/>
        <v>2017.9538640000001</v>
      </c>
      <c r="O36" s="379">
        <f t="shared" si="2"/>
        <v>1751.0872320000001</v>
      </c>
      <c r="P36" s="379">
        <f t="shared" si="2"/>
        <v>1772.7706692000004</v>
      </c>
      <c r="Q36" s="379">
        <f t="shared" si="2"/>
        <v>1751.3258795999998</v>
      </c>
      <c r="R36" s="379">
        <f t="shared" si="2"/>
        <v>1687.2636528</v>
      </c>
      <c r="S36" s="379">
        <f t="shared" si="2"/>
        <v>1477.7226864000002</v>
      </c>
      <c r="T36" s="379">
        <f t="shared" si="2"/>
        <v>1375.6233816000001</v>
      </c>
      <c r="U36" s="379">
        <f t="shared" ref="U36:Z36" si="3">U33*41.868/1000</f>
        <v>1447.6907699999999</v>
      </c>
      <c r="V36" s="379">
        <f t="shared" si="3"/>
        <v>1464.4044756000003</v>
      </c>
      <c r="W36" s="379">
        <f t="shared" si="3"/>
        <v>1513.0053274964025</v>
      </c>
      <c r="X36" s="454">
        <f t="shared" si="3"/>
        <v>1395.9296829919608</v>
      </c>
      <c r="Y36" s="454">
        <f t="shared" si="3"/>
        <v>1393.0113942488695</v>
      </c>
      <c r="Z36" s="454">
        <f t="shared" si="3"/>
        <v>1286.326446996932</v>
      </c>
      <c r="AA36" s="454">
        <f>AA33*41.868/1000</f>
        <v>1343.6591683704951</v>
      </c>
      <c r="AB36" s="454">
        <f>AB33*41.868/1000</f>
        <v>1416.6663012242402</v>
      </c>
      <c r="AC36" s="454">
        <f>AC33*41.868/1000</f>
        <v>1142.806458074896</v>
      </c>
      <c r="AD36" s="454">
        <f>AD33*41.868/1000</f>
        <v>1039.079328824253</v>
      </c>
      <c r="AF36" s="144" t="str">
        <f t="shared" si="1"/>
        <v>PJ elettrici</v>
      </c>
    </row>
    <row r="37" spans="1:41">
      <c r="I37" s="376" t="s">
        <v>184</v>
      </c>
      <c r="J37" s="195"/>
      <c r="K37" s="377">
        <f>K36/K12*1000</f>
        <v>251898.9056800417</v>
      </c>
      <c r="L37" s="377">
        <f t="shared" ref="L37:U37" si="4">L36/L12*1000</f>
        <v>261176.28374801489</v>
      </c>
      <c r="M37" s="377">
        <f t="shared" si="4"/>
        <v>264750.26680896484</v>
      </c>
      <c r="N37" s="377">
        <f t="shared" si="4"/>
        <v>260388.97893030799</v>
      </c>
      <c r="O37" s="377">
        <f>O36/O12*1000</f>
        <v>226075.67567567568</v>
      </c>
      <c r="P37" s="377">
        <f t="shared" si="4"/>
        <v>230494.82852476867</v>
      </c>
      <c r="Q37" s="377">
        <f t="shared" si="4"/>
        <v>227706.58682634725</v>
      </c>
      <c r="R37" s="377">
        <f t="shared" si="4"/>
        <v>216781.0650887574</v>
      </c>
      <c r="S37" s="377">
        <f t="shared" si="4"/>
        <v>192237.47276688454</v>
      </c>
      <c r="T37" s="377">
        <f t="shared" si="4"/>
        <v>175513.88888888891</v>
      </c>
      <c r="U37" s="377">
        <f t="shared" si="4"/>
        <v>191468.16161883349</v>
      </c>
      <c r="V37" s="377">
        <f t="shared" ref="V37:AA37" si="5">V36/V12*1000</f>
        <v>198698.02925373139</v>
      </c>
      <c r="W37" s="377">
        <f t="shared" si="5"/>
        <v>208834.41373311283</v>
      </c>
      <c r="X37" s="442">
        <f t="shared" si="5"/>
        <v>192118.04059894866</v>
      </c>
      <c r="Y37" s="442">
        <f t="shared" si="5"/>
        <v>195072.31399648081</v>
      </c>
      <c r="Z37" s="442">
        <f t="shared" si="5"/>
        <v>180816.20002768232</v>
      </c>
      <c r="AA37" s="442">
        <f t="shared" si="5"/>
        <v>189141.21176386473</v>
      </c>
      <c r="AB37" s="442">
        <f>AB36/AB12*1000</f>
        <v>198523.86508187224</v>
      </c>
      <c r="AC37" s="442">
        <f>AC36/AC12*1000</f>
        <v>161985.3236108995</v>
      </c>
      <c r="AD37" s="442">
        <f>AD36/AD12*1000</f>
        <v>147282.68303674742</v>
      </c>
      <c r="AF37" s="144" t="str">
        <f t="shared" si="1"/>
        <v>GWh lordi stima</v>
      </c>
    </row>
    <row r="38" spans="1:41">
      <c r="I38" s="195" t="s">
        <v>185</v>
      </c>
      <c r="J38" s="195"/>
      <c r="K38" s="380">
        <f>K37/K32-1</f>
        <v>-2.2779474043044257E-4</v>
      </c>
      <c r="L38" s="380">
        <f t="shared" ref="L38:U38" si="6">L37/L32-1</f>
        <v>1.4890149023027988E-4</v>
      </c>
      <c r="M38" s="380">
        <f t="shared" si="6"/>
        <v>2.7070805489470828E-5</v>
      </c>
      <c r="N38" s="380">
        <f t="shared" si="6"/>
        <v>-8.8402491790096072E-5</v>
      </c>
      <c r="O38" s="380">
        <f t="shared" si="6"/>
        <v>1.7597061208274312E-4</v>
      </c>
      <c r="P38" s="380">
        <f t="shared" si="6"/>
        <v>1.0425843433825577E-4</v>
      </c>
      <c r="Q38" s="380">
        <f t="shared" si="6"/>
        <v>-1.2354227154176556E-5</v>
      </c>
      <c r="R38" s="380">
        <f t="shared" si="6"/>
        <v>-1.371468176059043E-4</v>
      </c>
      <c r="S38" s="380">
        <f t="shared" si="6"/>
        <v>1.4423862520818176E-5</v>
      </c>
      <c r="T38" s="380">
        <f t="shared" si="6"/>
        <v>2.3297211260597805E-5</v>
      </c>
      <c r="U38" s="380">
        <f t="shared" si="6"/>
        <v>5.2030254298118805E-5</v>
      </c>
      <c r="V38" s="380">
        <f t="shared" ref="V38:AA38" si="7">V37/V32-1</f>
        <v>2.0278688492858521E-5</v>
      </c>
      <c r="W38" s="380">
        <f t="shared" si="7"/>
        <v>5.2262954661763672E-5</v>
      </c>
      <c r="X38" s="455">
        <f t="shared" si="7"/>
        <v>-5.6126848312021416E-5</v>
      </c>
      <c r="Y38" s="455">
        <f t="shared" si="7"/>
        <v>-6.0056119868034941E-5</v>
      </c>
      <c r="Z38" s="455">
        <f t="shared" si="7"/>
        <v>6.1384586206747471E-5</v>
      </c>
      <c r="AA38" s="455">
        <f t="shared" si="7"/>
        <v>4.7349953503861286E-5</v>
      </c>
      <c r="AB38" s="455">
        <f>AB37/AB32-1</f>
        <v>4.3948043510155799E-5</v>
      </c>
      <c r="AC38" s="455">
        <f>AC37/AC32-1</f>
        <v>6.8008639354966149E-5</v>
      </c>
      <c r="AD38" s="455">
        <f>AD37/AD32-1</f>
        <v>-3.0773821542266155E-2</v>
      </c>
      <c r="AF38" s="144" t="str">
        <f t="shared" si="1"/>
        <v>scarto</v>
      </c>
    </row>
    <row r="39" spans="1:41">
      <c r="X39" s="451"/>
      <c r="Y39" s="451"/>
      <c r="Z39" s="451"/>
      <c r="AA39" s="451"/>
      <c r="AB39" s="451"/>
      <c r="AC39" s="451"/>
      <c r="AD39" s="451"/>
    </row>
    <row r="40" spans="1:41">
      <c r="A40" s="388" t="s">
        <v>585</v>
      </c>
      <c r="K40" s="207">
        <f t="shared" ref="K40:AA40" si="8">K46/K62</f>
        <v>0.21191077056196678</v>
      </c>
      <c r="L40" s="207">
        <f t="shared" si="8"/>
        <v>0.22133964030249273</v>
      </c>
      <c r="M40" s="207">
        <f t="shared" si="8"/>
        <v>0.21365120012576266</v>
      </c>
      <c r="N40" s="207">
        <f t="shared" si="8"/>
        <v>0.21086144380150981</v>
      </c>
      <c r="O40" s="207">
        <f t="shared" si="8"/>
        <v>0.22162073081859829</v>
      </c>
      <c r="P40" s="207">
        <f t="shared" si="8"/>
        <v>0.24325385356380258</v>
      </c>
      <c r="Q40" s="207">
        <f t="shared" si="8"/>
        <v>0.26236668139196256</v>
      </c>
      <c r="R40" s="207">
        <f t="shared" si="8"/>
        <v>0.25949722126346036</v>
      </c>
      <c r="S40" s="207">
        <f t="shared" si="8"/>
        <v>0.30620877427966342</v>
      </c>
      <c r="T40" s="207">
        <f t="shared" si="8"/>
        <v>0.31921083910828096</v>
      </c>
      <c r="U40" s="207">
        <f t="shared" si="8"/>
        <v>0.3086116965036716</v>
      </c>
      <c r="V40" s="207">
        <f t="shared" si="8"/>
        <v>0.30610212973754619</v>
      </c>
      <c r="W40" s="207">
        <f t="shared" si="8"/>
        <v>0.29157097064872883</v>
      </c>
      <c r="X40" s="207">
        <f t="shared" si="8"/>
        <v>0.3093508478555882</v>
      </c>
      <c r="Y40" s="207">
        <f t="shared" si="8"/>
        <v>0.30779405075156285</v>
      </c>
      <c r="Z40" s="207">
        <f t="shared" si="8"/>
        <v>0.32705861615478499</v>
      </c>
      <c r="AA40" s="207">
        <f t="shared" si="8"/>
        <v>0.30404756584264225</v>
      </c>
      <c r="AB40" s="207">
        <f>AB46/AB62</f>
        <v>0.2844973519186238</v>
      </c>
      <c r="AC40" s="207">
        <f>AC46/AC62</f>
        <v>0.31285756735456838</v>
      </c>
      <c r="AD40" s="207">
        <f>AD46/AD62</f>
        <v>0.3257314388603394</v>
      </c>
    </row>
    <row r="41" spans="1:41">
      <c r="A41" t="s">
        <v>582</v>
      </c>
      <c r="I41" s="198"/>
      <c r="J41" s="198"/>
      <c r="K41" s="207">
        <f>+K46/('6-y'!J13*1000)</f>
        <v>0.56794047920092439</v>
      </c>
      <c r="L41" s="207">
        <f>+L46/('6-y'!K13*1000)</f>
        <v>0.57089042169640314</v>
      </c>
      <c r="M41" s="207">
        <f>+M46/('6-y'!L13*1000)</f>
        <v>0.52745611391674563</v>
      </c>
      <c r="N41" s="207">
        <f>+N46/('6-y'!M13*1000)</f>
        <v>0.53538230030492295</v>
      </c>
      <c r="O41" s="207">
        <f>+O46/('6-y'!N13*1000)</f>
        <v>0.50008038203583305</v>
      </c>
      <c r="P41" s="207">
        <f>+P46/('6-y'!O13*1000)</f>
        <v>0.50464656047957135</v>
      </c>
      <c r="Q41" s="207">
        <f>+Q46/('6-y'!P13*1000)</f>
        <v>0.5906377781200195</v>
      </c>
      <c r="R41" s="207">
        <f>+R46/('6-y'!Q13*1000)</f>
        <v>0.55987011600328884</v>
      </c>
      <c r="S41" s="207">
        <f>+S46/('6-y'!R13*1000)</f>
        <v>0.6473050101400003</v>
      </c>
      <c r="T41" s="207">
        <f>+T46/('6-y'!S13*1000)</f>
        <v>0.66042511471380816</v>
      </c>
      <c r="U41" s="207">
        <f>+U46/('6-y'!T13*1000)</f>
        <v>0.61820323019466328</v>
      </c>
      <c r="V41" s="207">
        <f>+V46/('6-y'!U13*1000)</f>
        <v>0.58068756294976109</v>
      </c>
      <c r="W41" s="207">
        <f>+W46/('6-y'!V13*1000)</f>
        <v>0.55462317982437781</v>
      </c>
      <c r="X41" s="207">
        <f>+X46/('6-y'!W13*1000)</f>
        <v>0.56825006895472374</v>
      </c>
      <c r="Y41" s="207">
        <f>+Y46/('6-y'!X13*1000)</f>
        <v>0.56167515075293395</v>
      </c>
      <c r="Z41" s="207">
        <f>+Z46/('6-y'!Y13*1000)</f>
        <v>0.590307667900001</v>
      </c>
      <c r="AA41" s="207">
        <f>+AA46/('6-y'!Z13*1000)</f>
        <v>0.56778870204174958</v>
      </c>
      <c r="AB41" s="207">
        <f>+AB46/('6-y'!AA13*1000)</f>
        <v>0.53752080546364589</v>
      </c>
      <c r="AC41" s="207">
        <f>+AC46/('6-y'!AB13*1000)</f>
        <v>0.52818770490592493</v>
      </c>
      <c r="AD41" s="207">
        <f>+AD46/('6-y'!AC13*1000)</f>
        <v>0.55022611693494705</v>
      </c>
    </row>
    <row r="42" spans="1:41">
      <c r="A42" t="s">
        <v>188</v>
      </c>
      <c r="D42" s="381">
        <f>18808.4</f>
        <v>18808.400000000001</v>
      </c>
      <c r="E42" s="381">
        <v>19233.599999999999</v>
      </c>
      <c r="F42" s="381">
        <v>16008.8</v>
      </c>
      <c r="G42" s="381">
        <v>17032.900000000001</v>
      </c>
      <c r="H42" s="382">
        <v>17552.099999999999</v>
      </c>
      <c r="I42" s="383">
        <v>17750</v>
      </c>
      <c r="J42" s="381">
        <v>20685</v>
      </c>
      <c r="K42" s="381">
        <v>21205.599999999999</v>
      </c>
      <c r="L42" s="381">
        <v>22588.5</v>
      </c>
      <c r="M42" s="381">
        <v>23728.400000000001</v>
      </c>
      <c r="N42" s="381">
        <v>22461.1</v>
      </c>
      <c r="O42" s="381">
        <v>21472.799999999999</v>
      </c>
      <c r="P42" s="381">
        <v>23998.799999999999</v>
      </c>
      <c r="Q42" s="381">
        <v>22520.7</v>
      </c>
      <c r="R42" s="381">
        <v>22146.7</v>
      </c>
      <c r="S42" s="381">
        <v>20052.3</v>
      </c>
      <c r="T42" s="381">
        <v>19044.900000000001</v>
      </c>
      <c r="U42" s="381">
        <v>20654.3</v>
      </c>
      <c r="V42" s="381">
        <v>22164.2</v>
      </c>
      <c r="W42" s="381">
        <f>'6-x'!P604</f>
        <v>22923.9</v>
      </c>
      <c r="X42" s="382">
        <f>'6-x'!P517</f>
        <v>22075.47</v>
      </c>
      <c r="Y42" s="382">
        <f>'6-x'!P425</f>
        <v>22495.7</v>
      </c>
      <c r="Z42" s="382">
        <f>'6-x'!$P$333</f>
        <v>21332.83</v>
      </c>
      <c r="AA42" s="382">
        <f>'6-x'!$P$241</f>
        <v>21221.190000000002</v>
      </c>
      <c r="AB42" s="382">
        <f>'6-x'!$P$149</f>
        <v>21588.41</v>
      </c>
      <c r="AC42" s="382">
        <f>'6-x'!$P$57</f>
        <v>19794.98</v>
      </c>
      <c r="AD42" s="800">
        <f>AC42/AC43*AD43</f>
        <v>19345.876901773634</v>
      </c>
      <c r="AF42" t="s">
        <v>188</v>
      </c>
    </row>
    <row r="43" spans="1:41">
      <c r="A43" t="s">
        <v>275</v>
      </c>
      <c r="C43" s="384"/>
      <c r="D43" s="385">
        <v>8760.7000000000007</v>
      </c>
      <c r="E43" s="385">
        <v>8859.5</v>
      </c>
      <c r="F43" s="385">
        <v>5015.8999999999996</v>
      </c>
      <c r="G43" s="385">
        <v>4837.1000000000004</v>
      </c>
      <c r="H43" s="385">
        <v>4721.3</v>
      </c>
      <c r="I43" s="385">
        <v>4977.3999999999996</v>
      </c>
      <c r="J43" s="385">
        <f>'13'!P9*85.9845228</f>
        <v>4527.9472276445522</v>
      </c>
      <c r="K43" s="385">
        <f>'13'!Q9*85.9845228</f>
        <v>4611.2567179282605</v>
      </c>
      <c r="L43" s="385">
        <f>'13'!R9*85.9845228</f>
        <v>4989.4693838234762</v>
      </c>
      <c r="M43" s="385">
        <f>'13'!S9*85.9845228</f>
        <v>4882.2752919676041</v>
      </c>
      <c r="N43" s="385">
        <f>'13'!T9*85.9845228</f>
        <v>4738.0965300252874</v>
      </c>
      <c r="O43" s="385">
        <f>'13'!U9*85.9845228</f>
        <v>4318.806837094724</v>
      </c>
      <c r="P43" s="385">
        <f>'13'!V9*85.9845228</f>
        <v>4836.7964577417761</v>
      </c>
      <c r="Q43" s="385">
        <f>'13'!W9*85.9845228</f>
        <v>5155.1962245597097</v>
      </c>
      <c r="R43" s="385">
        <f>'13'!X9*85.9845228</f>
        <v>4854.3964448523166</v>
      </c>
      <c r="S43" s="385">
        <f>'13'!Y9*85.9845228</f>
        <v>5081.1962787540333</v>
      </c>
      <c r="T43" s="385">
        <f>'13'!Z9*85.9845228</f>
        <v>4835.3964587670735</v>
      </c>
      <c r="U43" s="385">
        <f>'13'!AA9*85.9845228</f>
        <v>5096.2962676954639</v>
      </c>
      <c r="V43" s="385">
        <f>'13'!AB9*85.9845228</f>
        <v>5248.996155864741</v>
      </c>
      <c r="W43" s="385">
        <f>'13'!AC9*85.9845228</f>
        <v>5251.9000008613111</v>
      </c>
      <c r="X43" s="385">
        <f>'13'!AD9*85.9845228</f>
        <v>5126.500000840746</v>
      </c>
      <c r="Y43" s="385">
        <f>'13'!AE9*85.9845228</f>
        <v>5180.2000008495525</v>
      </c>
      <c r="Z43" s="385">
        <f>'13'!AF9*85.9845228</f>
        <v>5098.7000008361865</v>
      </c>
      <c r="AA43" s="385">
        <f>'13'!AG9*85.9845228</f>
        <v>4959.6904565313589</v>
      </c>
      <c r="AB43" s="407">
        <f>'13'!AH9*85.9845228</f>
        <v>4873.3447987355994</v>
      </c>
      <c r="AC43" s="407">
        <f>'13'!AI9*85.9845228</f>
        <v>4373.7575243630399</v>
      </c>
      <c r="AD43" s="407">
        <f>'13'!AJ9*85.9845228</f>
        <v>4274.5269085663931</v>
      </c>
      <c r="AF43" t="s">
        <v>275</v>
      </c>
    </row>
    <row r="44" spans="1:41">
      <c r="A44" s="386" t="s">
        <v>188</v>
      </c>
      <c r="C44" s="384"/>
      <c r="D44" s="387">
        <f t="shared" ref="D44:I44" si="9">D42</f>
        <v>18808.400000000001</v>
      </c>
      <c r="E44" s="387">
        <f t="shared" si="9"/>
        <v>19233.599999999999</v>
      </c>
      <c r="F44" s="387">
        <f t="shared" si="9"/>
        <v>16008.8</v>
      </c>
      <c r="G44" s="387">
        <f t="shared" si="9"/>
        <v>17032.900000000001</v>
      </c>
      <c r="H44" s="387">
        <f t="shared" si="9"/>
        <v>17552.099999999999</v>
      </c>
      <c r="I44" s="387">
        <f t="shared" si="9"/>
        <v>17750</v>
      </c>
      <c r="J44" s="387"/>
      <c r="K44" s="387"/>
      <c r="L44" s="387"/>
      <c r="M44" s="387"/>
      <c r="N44" s="387"/>
      <c r="O44" s="387"/>
      <c r="P44" s="387"/>
      <c r="Q44" s="387"/>
      <c r="R44" s="387"/>
      <c r="S44" s="387"/>
      <c r="T44" s="387"/>
      <c r="U44" s="387"/>
      <c r="V44" s="387"/>
      <c r="W44" s="387"/>
      <c r="X44" s="449"/>
      <c r="Y44" s="449"/>
      <c r="Z44" s="449"/>
      <c r="AA44" s="449"/>
      <c r="AB44" s="449"/>
      <c r="AC44" s="449"/>
      <c r="AD44" s="449"/>
    </row>
    <row r="45" spans="1:41" ht="15.6">
      <c r="A45" s="386" t="s">
        <v>275</v>
      </c>
      <c r="C45" s="388"/>
      <c r="D45" s="387">
        <f t="shared" ref="D45:I45" si="10">D43</f>
        <v>8760.7000000000007</v>
      </c>
      <c r="E45" s="387">
        <f t="shared" si="10"/>
        <v>8859.5</v>
      </c>
      <c r="F45" s="387">
        <f t="shared" si="10"/>
        <v>5015.8999999999996</v>
      </c>
      <c r="G45" s="387">
        <f t="shared" si="10"/>
        <v>4837.1000000000004</v>
      </c>
      <c r="H45" s="387">
        <f t="shared" si="10"/>
        <v>4721.3</v>
      </c>
      <c r="I45" s="387">
        <f t="shared" si="10"/>
        <v>4977.3999999999996</v>
      </c>
      <c r="J45" s="387"/>
      <c r="K45" s="387"/>
      <c r="L45" s="387"/>
      <c r="M45" s="387"/>
      <c r="N45" s="387"/>
      <c r="O45" s="387"/>
      <c r="P45" s="387"/>
      <c r="Q45" s="387"/>
      <c r="R45" s="387"/>
      <c r="S45" s="387"/>
      <c r="T45" s="387"/>
      <c r="U45" s="387"/>
      <c r="V45" s="387"/>
      <c r="W45" s="387"/>
      <c r="X45" s="449"/>
      <c r="Y45" s="449"/>
      <c r="Z45" s="449"/>
      <c r="AA45" s="449"/>
      <c r="AB45" s="449"/>
      <c r="AC45" s="449"/>
      <c r="AD45" s="449"/>
      <c r="AE45" s="359">
        <v>2025</v>
      </c>
      <c r="AF45" s="68">
        <v>2026</v>
      </c>
      <c r="AG45" s="68">
        <v>2028</v>
      </c>
      <c r="AH45" s="68">
        <v>2030</v>
      </c>
      <c r="AI45" s="68">
        <v>2032</v>
      </c>
      <c r="AJ45" s="68">
        <v>2035</v>
      </c>
      <c r="AK45" s="68">
        <v>2040</v>
      </c>
      <c r="AL45" s="68">
        <v>2045</v>
      </c>
      <c r="AM45" s="68">
        <v>2050</v>
      </c>
      <c r="AN45" s="68">
        <v>2060</v>
      </c>
      <c r="AO45" s="68">
        <v>2080</v>
      </c>
    </row>
    <row r="46" spans="1:41">
      <c r="A46" t="s">
        <v>347</v>
      </c>
      <c r="C46" s="385"/>
      <c r="D46" s="385">
        <f t="shared" ref="D46:I46" si="11">D43*11.63</f>
        <v>101886.94100000002</v>
      </c>
      <c r="E46" s="385">
        <f t="shared" si="11"/>
        <v>103035.985</v>
      </c>
      <c r="F46" s="385">
        <f t="shared" si="11"/>
        <v>58334.917000000001</v>
      </c>
      <c r="G46" s="385">
        <f t="shared" si="11"/>
        <v>56255.473000000005</v>
      </c>
      <c r="H46" s="385">
        <f t="shared" si="11"/>
        <v>54908.719000000005</v>
      </c>
      <c r="I46" s="385">
        <f t="shared" si="11"/>
        <v>57887.161999999997</v>
      </c>
      <c r="J46" s="385">
        <f t="shared" ref="J46:T46" si="12">J43*11.63</f>
        <v>52660.026257506142</v>
      </c>
      <c r="K46" s="385">
        <f t="shared" si="12"/>
        <v>53628.915629505675</v>
      </c>
      <c r="L46" s="385">
        <f t="shared" si="12"/>
        <v>58027.528933867034</v>
      </c>
      <c r="M46" s="385">
        <f t="shared" si="12"/>
        <v>56780.861645583238</v>
      </c>
      <c r="N46" s="385">
        <f t="shared" si="12"/>
        <v>55104.062644194099</v>
      </c>
      <c r="O46" s="385">
        <f t="shared" si="12"/>
        <v>50227.723515411642</v>
      </c>
      <c r="P46" s="385">
        <f t="shared" si="12"/>
        <v>56251.942803536862</v>
      </c>
      <c r="Q46" s="385">
        <f t="shared" si="12"/>
        <v>59954.932091629431</v>
      </c>
      <c r="R46" s="385">
        <f t="shared" si="12"/>
        <v>56456.630653632448</v>
      </c>
      <c r="S46" s="385">
        <f t="shared" si="12"/>
        <v>59094.312721909409</v>
      </c>
      <c r="T46" s="385">
        <f t="shared" si="12"/>
        <v>56235.660815461066</v>
      </c>
      <c r="U46" s="385">
        <f t="shared" ref="U46:AB46" si="13">U43*11.63</f>
        <v>59269.925593298249</v>
      </c>
      <c r="V46" s="385">
        <f t="shared" si="13"/>
        <v>61045.825292706941</v>
      </c>
      <c r="W46" s="385">
        <f t="shared" si="13"/>
        <v>61079.597010017053</v>
      </c>
      <c r="X46" s="382">
        <f t="shared" si="13"/>
        <v>59621.195009777883</v>
      </c>
      <c r="Y46" s="382">
        <f t="shared" si="13"/>
        <v>60245.726009880302</v>
      </c>
      <c r="Z46" s="382">
        <f t="shared" si="13"/>
        <v>59297.88100972485</v>
      </c>
      <c r="AA46" s="382">
        <f t="shared" si="13"/>
        <v>57681.20000945971</v>
      </c>
      <c r="AB46" s="382">
        <f t="shared" si="13"/>
        <v>56677.000009295021</v>
      </c>
      <c r="AC46" s="382">
        <f t="shared" ref="AC46:AD46" si="14">AC43*11.63</f>
        <v>50866.800008342158</v>
      </c>
      <c r="AD46" s="382">
        <f t="shared" si="14"/>
        <v>49712.747946627154</v>
      </c>
      <c r="AE46" s="746">
        <v>55264.721342119017</v>
      </c>
      <c r="AF46" s="746">
        <v>50237.710801783018</v>
      </c>
      <c r="AG46" s="746">
        <v>49984.838242561578</v>
      </c>
      <c r="AH46" s="746">
        <v>50748.029164796164</v>
      </c>
      <c r="AI46" s="746">
        <v>45527.538668122725</v>
      </c>
      <c r="AJ46" s="746">
        <v>44795.262548102161</v>
      </c>
      <c r="AK46" s="746">
        <v>41936.726566926394</v>
      </c>
      <c r="AL46" s="746">
        <v>35482.401265713328</v>
      </c>
      <c r="AM46" s="746">
        <v>35868.830056595849</v>
      </c>
      <c r="AN46" s="746">
        <v>44753.648716340096</v>
      </c>
      <c r="AO46" s="746">
        <v>62433.809363098939</v>
      </c>
    </row>
    <row r="47" spans="1:41">
      <c r="U47" s="177"/>
      <c r="V47" s="177"/>
      <c r="W47" s="177"/>
      <c r="X47" s="438"/>
      <c r="Y47" s="438"/>
      <c r="Z47" s="438"/>
      <c r="AA47" s="438"/>
      <c r="AB47" s="438"/>
      <c r="AC47" s="438"/>
      <c r="AD47" s="438"/>
    </row>
    <row r="48" spans="1:41">
      <c r="C48" s="200">
        <f t="shared" ref="C48:I48" si="15">C51-C49</f>
        <v>-1310.8799082831683</v>
      </c>
      <c r="D48" s="200">
        <f t="shared" si="15"/>
        <v>-1525.9806057131937</v>
      </c>
      <c r="E48" s="200">
        <f t="shared" si="15"/>
        <v>-1767.1122575714107</v>
      </c>
      <c r="F48" s="200">
        <f t="shared" si="15"/>
        <v>-1192.3236839591118</v>
      </c>
      <c r="G48" s="200">
        <f t="shared" si="15"/>
        <v>-745.83185248877271</v>
      </c>
      <c r="H48" s="200">
        <f t="shared" si="15"/>
        <v>-1495.2148657686048</v>
      </c>
      <c r="I48" s="200">
        <f t="shared" si="15"/>
        <v>239.24744434891181</v>
      </c>
      <c r="J48" s="200">
        <f>J51-J49</f>
        <v>1418</v>
      </c>
      <c r="X48" s="388"/>
      <c r="Y48" s="388"/>
      <c r="Z48" s="388"/>
      <c r="AA48" s="388"/>
      <c r="AB48" s="388"/>
      <c r="AC48" s="388"/>
      <c r="AD48" s="388"/>
      <c r="AI48" s="271" t="s">
        <v>266</v>
      </c>
    </row>
    <row r="49" spans="1:41">
      <c r="C49" s="389">
        <v>42620.879908283168</v>
      </c>
      <c r="D49" s="389">
        <v>44258.980605713194</v>
      </c>
      <c r="E49" s="389">
        <v>44475.112257571411</v>
      </c>
      <c r="F49" s="389">
        <v>46936.323683959112</v>
      </c>
      <c r="G49" s="389">
        <v>45529.831852488773</v>
      </c>
      <c r="H49" s="389">
        <v>48553.214865768605</v>
      </c>
      <c r="I49" s="389">
        <v>48269.752555651088</v>
      </c>
      <c r="J49" s="389">
        <v>48055</v>
      </c>
      <c r="X49" s="388"/>
      <c r="Y49" s="388"/>
      <c r="Z49" s="388"/>
      <c r="AA49" s="388"/>
      <c r="AB49" s="388"/>
      <c r="AC49" s="388"/>
      <c r="AD49" s="388"/>
      <c r="AI49" s="68" t="s">
        <v>197</v>
      </c>
    </row>
    <row r="50" spans="1:41" ht="15.6">
      <c r="B50" s="359">
        <v>1996</v>
      </c>
      <c r="C50" s="359">
        <v>1997</v>
      </c>
      <c r="D50" s="359">
        <v>1998</v>
      </c>
      <c r="E50" s="359">
        <v>1999</v>
      </c>
      <c r="F50" s="359">
        <v>2000</v>
      </c>
      <c r="G50" s="359">
        <v>2001</v>
      </c>
      <c r="H50" s="359">
        <v>2002</v>
      </c>
      <c r="I50" s="359">
        <v>2003</v>
      </c>
      <c r="J50" s="359">
        <v>2004</v>
      </c>
      <c r="K50" s="359">
        <v>2005</v>
      </c>
      <c r="L50" s="359">
        <v>2006</v>
      </c>
      <c r="M50" s="359">
        <v>2007</v>
      </c>
      <c r="N50" s="359">
        <v>2008</v>
      </c>
      <c r="O50" s="359">
        <v>2009</v>
      </c>
      <c r="P50" s="359">
        <v>2010</v>
      </c>
      <c r="Q50" s="359">
        <v>2011</v>
      </c>
      <c r="R50" s="359">
        <v>2012</v>
      </c>
      <c r="S50" s="359">
        <v>2013</v>
      </c>
      <c r="T50" s="359">
        <v>2014</v>
      </c>
      <c r="U50" s="359">
        <v>2015</v>
      </c>
      <c r="V50" s="359">
        <v>2016</v>
      </c>
      <c r="W50" s="359">
        <v>2017</v>
      </c>
      <c r="X50" s="359">
        <v>2018</v>
      </c>
      <c r="Y50" s="359">
        <v>2019</v>
      </c>
      <c r="Z50" s="359">
        <v>2020</v>
      </c>
      <c r="AA50" s="359">
        <v>2021</v>
      </c>
      <c r="AB50" s="359">
        <f>AB4</f>
        <v>2022</v>
      </c>
      <c r="AC50" s="359">
        <f>AC4</f>
        <v>2023</v>
      </c>
      <c r="AD50" s="359">
        <f>AD4</f>
        <v>2024</v>
      </c>
      <c r="AI50" s="68" t="s">
        <v>202</v>
      </c>
    </row>
    <row r="51" spans="1:41">
      <c r="A51" t="s">
        <v>183</v>
      </c>
      <c r="B51" s="390">
        <v>40391</v>
      </c>
      <c r="C51" s="390">
        <v>41310</v>
      </c>
      <c r="D51" s="390">
        <v>42733</v>
      </c>
      <c r="E51" s="390">
        <v>42708</v>
      </c>
      <c r="F51" s="390">
        <v>45744</v>
      </c>
      <c r="G51" s="390">
        <v>44784</v>
      </c>
      <c r="H51" s="390">
        <v>47058</v>
      </c>
      <c r="I51" s="390">
        <v>48509</v>
      </c>
      <c r="J51" s="390">
        <v>49473</v>
      </c>
      <c r="K51" s="389">
        <f>K33</f>
        <v>48339.4</v>
      </c>
      <c r="L51" s="389">
        <f t="shared" ref="L51:Y51" si="16">L33</f>
        <v>49336.200000000004</v>
      </c>
      <c r="M51" s="389">
        <f t="shared" si="16"/>
        <v>49614.200000000004</v>
      </c>
      <c r="N51" s="389">
        <f t="shared" si="16"/>
        <v>48198</v>
      </c>
      <c r="O51" s="389">
        <f t="shared" si="16"/>
        <v>41824</v>
      </c>
      <c r="P51" s="389">
        <f t="shared" si="16"/>
        <v>42341.900000000009</v>
      </c>
      <c r="Q51" s="389">
        <f t="shared" si="16"/>
        <v>41829.699999999997</v>
      </c>
      <c r="R51" s="389">
        <f t="shared" si="16"/>
        <v>40299.599999999999</v>
      </c>
      <c r="S51" s="389">
        <f t="shared" si="16"/>
        <v>35294.800000000003</v>
      </c>
      <c r="T51" s="389">
        <f t="shared" si="16"/>
        <v>32856.200000000004</v>
      </c>
      <c r="U51" s="389">
        <f t="shared" si="16"/>
        <v>34577.5</v>
      </c>
      <c r="V51" s="389">
        <f t="shared" si="16"/>
        <v>34976.700000000004</v>
      </c>
      <c r="W51" s="389">
        <f t="shared" si="16"/>
        <v>36137.511404805635</v>
      </c>
      <c r="X51" s="389">
        <f>X33</f>
        <v>33341.207676315105</v>
      </c>
      <c r="Y51" s="389">
        <f t="shared" si="16"/>
        <v>33271.505547168948</v>
      </c>
      <c r="Z51" s="389">
        <f>Z33</f>
        <v>30723.379358864331</v>
      </c>
      <c r="AA51" s="389">
        <f>AA33</f>
        <v>32092.747883120643</v>
      </c>
      <c r="AB51" s="389">
        <f>AB33</f>
        <v>33836.493293786189</v>
      </c>
      <c r="AC51" s="389">
        <f>AC33</f>
        <v>27295.463315059136</v>
      </c>
      <c r="AD51" s="389">
        <f>AD33</f>
        <v>24817.983396012536</v>
      </c>
      <c r="AI51" s="68" t="s">
        <v>196</v>
      </c>
    </row>
    <row r="52" spans="1:41">
      <c r="B52" s="391">
        <f>($AG$52*B51)</f>
        <v>1691090.388</v>
      </c>
      <c r="C52" s="391">
        <f t="shared" ref="C52:J52" si="17">($AG$52*C49)</f>
        <v>1784450.9999999998</v>
      </c>
      <c r="D52" s="391">
        <f t="shared" si="17"/>
        <v>1853035</v>
      </c>
      <c r="E52" s="391">
        <f t="shared" si="17"/>
        <v>1862084</v>
      </c>
      <c r="F52" s="391">
        <f t="shared" si="17"/>
        <v>1965130.0000000002</v>
      </c>
      <c r="G52" s="391">
        <f t="shared" si="17"/>
        <v>1906243</v>
      </c>
      <c r="H52" s="391">
        <f t="shared" si="17"/>
        <v>2032826</v>
      </c>
      <c r="I52" s="391">
        <f t="shared" si="17"/>
        <v>2020957.9999999998</v>
      </c>
      <c r="J52" s="391">
        <f t="shared" si="17"/>
        <v>2011966.74</v>
      </c>
      <c r="K52" s="392">
        <f t="shared" ref="K52:AD52" si="18">($AG$52*K51)</f>
        <v>2023873.9992000002</v>
      </c>
      <c r="L52" s="393">
        <f t="shared" si="18"/>
        <v>2065608.0216000003</v>
      </c>
      <c r="M52" s="393">
        <f t="shared" si="18"/>
        <v>2077247.3256000003</v>
      </c>
      <c r="N52" s="393">
        <f t="shared" si="18"/>
        <v>2017953.8640000001</v>
      </c>
      <c r="O52" s="393">
        <f t="shared" si="18"/>
        <v>1751087.2320000001</v>
      </c>
      <c r="P52" s="393">
        <f t="shared" si="18"/>
        <v>1772770.6692000004</v>
      </c>
      <c r="Q52" s="393">
        <f t="shared" si="18"/>
        <v>1751325.8795999999</v>
      </c>
      <c r="R52" s="393">
        <f t="shared" si="18"/>
        <v>1687263.6528</v>
      </c>
      <c r="S52" s="393">
        <f t="shared" si="18"/>
        <v>1477722.6864000002</v>
      </c>
      <c r="T52" s="393">
        <f t="shared" si="18"/>
        <v>1375623.3816000002</v>
      </c>
      <c r="U52" s="393">
        <f t="shared" si="18"/>
        <v>1447690.77</v>
      </c>
      <c r="V52" s="393">
        <f t="shared" si="18"/>
        <v>1464404.4756000002</v>
      </c>
      <c r="W52" s="393">
        <f t="shared" si="18"/>
        <v>1513005.3274964024</v>
      </c>
      <c r="X52" s="412">
        <f t="shared" si="18"/>
        <v>1395929.6829919608</v>
      </c>
      <c r="Y52" s="412">
        <f t="shared" si="18"/>
        <v>1393011.3942488695</v>
      </c>
      <c r="Z52" s="412">
        <f t="shared" si="18"/>
        <v>1286326.4469969319</v>
      </c>
      <c r="AA52" s="412">
        <f t="shared" si="18"/>
        <v>1343659.1683704951</v>
      </c>
      <c r="AB52" s="412">
        <f t="shared" si="18"/>
        <v>1416666.3012242401</v>
      </c>
      <c r="AC52" s="412">
        <f t="shared" si="18"/>
        <v>1142806.4580748959</v>
      </c>
      <c r="AD52" s="412">
        <f t="shared" si="18"/>
        <v>1039079.3288242529</v>
      </c>
      <c r="AF52" t="s">
        <v>203</v>
      </c>
      <c r="AG52" s="68">
        <v>41.868000000000002</v>
      </c>
      <c r="AH52" t="s">
        <v>189</v>
      </c>
      <c r="AI52" t="s">
        <v>265</v>
      </c>
    </row>
    <row r="53" spans="1:41">
      <c r="X53" s="388"/>
      <c r="Y53" s="388"/>
      <c r="Z53" s="388"/>
      <c r="AA53" s="388"/>
      <c r="AB53" s="388"/>
      <c r="AC53" s="388"/>
      <c r="AD53" s="388"/>
      <c r="AI53" t="s">
        <v>190</v>
      </c>
    </row>
    <row r="54" spans="1:41">
      <c r="A54" t="str">
        <f>AF54</f>
        <v>Mcal/kWh elettriche</v>
      </c>
      <c r="C54" s="388"/>
      <c r="D54" s="388">
        <v>2.1349999999999998</v>
      </c>
      <c r="E54" s="394">
        <v>2.14</v>
      </c>
      <c r="F54" s="388">
        <v>2.2120000000000002</v>
      </c>
      <c r="G54" s="388">
        <v>2.1389999999999998</v>
      </c>
      <c r="H54" s="388">
        <v>2.169</v>
      </c>
      <c r="I54" s="388">
        <v>2.1240000000000001</v>
      </c>
      <c r="J54" s="388">
        <v>2.0870000000000002</v>
      </c>
      <c r="K54" s="201">
        <v>2.047641</v>
      </c>
      <c r="L54">
        <v>2.0270000000000001</v>
      </c>
      <c r="M54">
        <v>1.9950000000000001</v>
      </c>
      <c r="N54">
        <v>1.9710000000000001</v>
      </c>
      <c r="O54">
        <v>2.0129999999999999</v>
      </c>
      <c r="P54" s="201">
        <v>1.9969319999999999</v>
      </c>
      <c r="Q54">
        <v>1.9930000000000001</v>
      </c>
      <c r="R54">
        <v>2.028</v>
      </c>
      <c r="S54">
        <v>2.085</v>
      </c>
      <c r="T54">
        <v>2.1309999999999998</v>
      </c>
      <c r="U54" s="201">
        <f t="shared" ref="U54:W55" si="19">U58/4.1868</f>
        <v>2.0598464220884685</v>
      </c>
      <c r="V54" s="201">
        <f t="shared" si="19"/>
        <v>2.0009171682430495</v>
      </c>
      <c r="W54" s="201">
        <f t="shared" si="19"/>
        <v>1.9372516002675073</v>
      </c>
      <c r="X54" s="443">
        <f t="shared" ref="X54:AA55" si="20">X58/4.1868</f>
        <v>1.9531623196713481</v>
      </c>
      <c r="Y54" s="443">
        <f t="shared" si="20"/>
        <v>1.8902505493455621</v>
      </c>
      <c r="Z54" s="443">
        <f t="shared" si="20"/>
        <v>1.882463865218986</v>
      </c>
      <c r="AA54" s="443">
        <f t="shared" si="20"/>
        <v>1.8760784261575809</v>
      </c>
      <c r="AB54" s="443">
        <f t="shared" ref="AB54:AD55" si="21">AB58/4.1868</f>
        <v>1.904650548799935</v>
      </c>
      <c r="AC54" s="443">
        <f t="shared" si="21"/>
        <v>1.8950497432656714</v>
      </c>
      <c r="AD54" s="443">
        <f t="shared" si="21"/>
        <v>1.8950497432656714</v>
      </c>
      <c r="AF54" t="s">
        <v>208</v>
      </c>
      <c r="AG54" s="207">
        <f>CONVERT(1,"Mcal","MJ")</f>
        <v>4.1867999999999999</v>
      </c>
      <c r="AI54" t="s">
        <v>191</v>
      </c>
    </row>
    <row r="55" spans="1:41">
      <c r="A55" t="str">
        <f t="shared" ref="A55:A70" si="22">AF55</f>
        <v>Mcal/kWh cogenerative</v>
      </c>
      <c r="C55" s="388"/>
      <c r="D55" s="388">
        <v>1.8129999999999999</v>
      </c>
      <c r="E55" s="388">
        <v>1.7829999999999999</v>
      </c>
      <c r="F55" s="388">
        <v>1.738</v>
      </c>
      <c r="G55" s="388">
        <v>1.798</v>
      </c>
      <c r="H55" s="388">
        <v>1.7569999999999999</v>
      </c>
      <c r="I55" s="388">
        <v>1.7250000000000001</v>
      </c>
      <c r="J55" s="394">
        <f>(I55+K55)/2</f>
        <v>1.7140945000000001</v>
      </c>
      <c r="K55" s="201">
        <v>1.7031890000000001</v>
      </c>
      <c r="L55">
        <v>1.673</v>
      </c>
      <c r="M55">
        <v>1.698</v>
      </c>
      <c r="N55">
        <v>1.667</v>
      </c>
      <c r="O55">
        <v>1.6459999999999999</v>
      </c>
      <c r="P55" s="201">
        <v>1.6666460000000001</v>
      </c>
      <c r="Q55">
        <v>1.643</v>
      </c>
      <c r="R55">
        <v>1.6639999999999999</v>
      </c>
      <c r="S55">
        <v>1.5609999999999999</v>
      </c>
      <c r="T55">
        <v>1.5980000000000001</v>
      </c>
      <c r="U55" s="201">
        <f t="shared" si="19"/>
        <v>1.5529343412630172</v>
      </c>
      <c r="V55" s="201">
        <f t="shared" si="19"/>
        <v>1.5462823636189931</v>
      </c>
      <c r="W55" s="201">
        <f t="shared" si="19"/>
        <v>1.5452749116270184</v>
      </c>
      <c r="X55" s="443">
        <f t="shared" si="20"/>
        <v>1.5542956434508457</v>
      </c>
      <c r="Y55" s="443">
        <f t="shared" si="20"/>
        <v>1.55412677940193</v>
      </c>
      <c r="Z55" s="443">
        <f t="shared" si="20"/>
        <v>1.553062903355533</v>
      </c>
      <c r="AA55" s="443">
        <f t="shared" si="20"/>
        <v>1.5423816682213749</v>
      </c>
      <c r="AB55" s="443">
        <f t="shared" si="21"/>
        <v>1.5277079810635823</v>
      </c>
      <c r="AC55" s="443">
        <f t="shared" si="21"/>
        <v>1.5419406261669841</v>
      </c>
      <c r="AD55" s="443">
        <f t="shared" si="21"/>
        <v>1.5419406261669841</v>
      </c>
      <c r="AF55" t="s">
        <v>209</v>
      </c>
      <c r="AI55" t="s">
        <v>192</v>
      </c>
    </row>
    <row r="56" spans="1:41">
      <c r="A56" s="395" t="s">
        <v>208</v>
      </c>
      <c r="B56" s="395"/>
      <c r="C56" s="396"/>
      <c r="D56" s="396">
        <v>2.1882350100241386</v>
      </c>
      <c r="E56" s="396">
        <v>2.2102343927668331</v>
      </c>
      <c r="F56" s="396">
        <v>2.2444395412249323</v>
      </c>
      <c r="G56" s="396">
        <v>2.2463698516537516</v>
      </c>
      <c r="H56" s="396">
        <v>2.2106915178664588</v>
      </c>
      <c r="I56" s="396">
        <v>2.1187817811471814</v>
      </c>
      <c r="J56" s="396">
        <v>2.1779198907841151</v>
      </c>
      <c r="K56" s="646">
        <v>2.0476884553204062</v>
      </c>
      <c r="L56" s="646">
        <v>2.1771080709102621</v>
      </c>
      <c r="M56" s="646">
        <v>1.9949454216898246</v>
      </c>
      <c r="N56" s="646">
        <v>1.9708102576950184</v>
      </c>
      <c r="O56" s="646">
        <v>2.0133480368859527</v>
      </c>
      <c r="P56" s="646">
        <v>1.9968502947697639</v>
      </c>
      <c r="Q56" s="646">
        <v>1.993342255540556</v>
      </c>
      <c r="R56" s="646">
        <v>2.0281146231828413</v>
      </c>
      <c r="S56" s="646">
        <v>2.0849733994914508</v>
      </c>
      <c r="T56" s="646">
        <v>2.1305055258303138</v>
      </c>
      <c r="U56" s="443"/>
      <c r="V56" s="443"/>
      <c r="W56" s="443"/>
      <c r="X56" s="443"/>
      <c r="Y56" s="443"/>
      <c r="Z56" s="443"/>
      <c r="AA56" s="443"/>
      <c r="AB56" s="443"/>
      <c r="AC56" s="443"/>
      <c r="AD56" s="443"/>
    </row>
    <row r="57" spans="1:41">
      <c r="A57" s="395" t="s">
        <v>209</v>
      </c>
      <c r="B57" s="395"/>
      <c r="C57" s="396"/>
      <c r="D57" s="396">
        <v>1.9555135409210784</v>
      </c>
      <c r="E57" s="396">
        <v>1.9086904493245638</v>
      </c>
      <c r="F57" s="396">
        <v>1.8505559589003489</v>
      </c>
      <c r="G57" s="396">
        <v>1.7005940425445978</v>
      </c>
      <c r="H57" s="396">
        <v>1.8473613982723309</v>
      </c>
      <c r="I57" s="396">
        <v>1.7038617489092567</v>
      </c>
      <c r="J57" s="396">
        <v>1.5352598426314095</v>
      </c>
      <c r="K57" s="646">
        <v>1.7031138818292919</v>
      </c>
      <c r="L57" s="646">
        <v>1.4376646071901644</v>
      </c>
      <c r="M57" s="646">
        <v>1.6976102795161778</v>
      </c>
      <c r="N57" s="646">
        <v>1.6672331703389001</v>
      </c>
      <c r="O57" s="646">
        <v>1.6465201067263249</v>
      </c>
      <c r="P57" s="646">
        <v>1.6667248696672523</v>
      </c>
      <c r="Q57" s="646">
        <v>1.6425841945536015</v>
      </c>
      <c r="R57" s="646">
        <v>1.6639543323539452</v>
      </c>
      <c r="S57" s="646">
        <v>1.560721735657705</v>
      </c>
      <c r="T57" s="646">
        <v>1.5977630145152415</v>
      </c>
      <c r="U57" s="443"/>
      <c r="V57" s="443"/>
      <c r="W57" s="443"/>
      <c r="X57" s="394"/>
      <c r="Y57" s="394"/>
      <c r="Z57" s="394"/>
      <c r="AA57" s="394"/>
      <c r="AB57" s="394"/>
      <c r="AC57" s="394"/>
      <c r="AD57" s="394"/>
    </row>
    <row r="58" spans="1:41">
      <c r="A58" t="str">
        <f t="shared" si="22"/>
        <v>MJ/kWh elettriche</v>
      </c>
      <c r="C58" s="394"/>
      <c r="D58" s="394">
        <f t="shared" ref="D58:T58" si="23">D56*($AG$52/10)</f>
        <v>9.1617023399690627</v>
      </c>
      <c r="E58" s="394">
        <f t="shared" si="23"/>
        <v>9.2538093556361769</v>
      </c>
      <c r="F58" s="394">
        <f t="shared" si="23"/>
        <v>9.3970194712005455</v>
      </c>
      <c r="G58" s="394">
        <f t="shared" si="23"/>
        <v>9.4051012949039272</v>
      </c>
      <c r="H58" s="394">
        <f t="shared" si="23"/>
        <v>9.2557232470032886</v>
      </c>
      <c r="I58" s="394">
        <f t="shared" si="23"/>
        <v>8.8709155613070187</v>
      </c>
      <c r="J58" s="394">
        <f t="shared" si="23"/>
        <v>9.1185149987349323</v>
      </c>
      <c r="K58" s="397">
        <f t="shared" si="23"/>
        <v>8.5732620247354756</v>
      </c>
      <c r="L58" s="397">
        <f t="shared" si="23"/>
        <v>9.1151160712870851</v>
      </c>
      <c r="M58" s="397">
        <f t="shared" si="23"/>
        <v>8.3524374915309565</v>
      </c>
      <c r="N58" s="397">
        <f t="shared" si="23"/>
        <v>8.2513883869175029</v>
      </c>
      <c r="O58" s="397">
        <f t="shared" si="23"/>
        <v>8.4294855608341059</v>
      </c>
      <c r="P58" s="397">
        <f t="shared" si="23"/>
        <v>8.3604128141420482</v>
      </c>
      <c r="Q58" s="397">
        <f t="shared" si="23"/>
        <v>8.3457253554971995</v>
      </c>
      <c r="R58" s="397">
        <f t="shared" si="23"/>
        <v>8.4913103043419191</v>
      </c>
      <c r="S58" s="397">
        <f t="shared" si="23"/>
        <v>8.729366628990805</v>
      </c>
      <c r="T58" s="397">
        <f t="shared" si="23"/>
        <v>8.9200005355463574</v>
      </c>
      <c r="U58" s="397">
        <v>8.6241649999999996</v>
      </c>
      <c r="V58" s="397">
        <v>8.37744</v>
      </c>
      <c r="W58" s="397">
        <v>8.1108849999999997</v>
      </c>
      <c r="X58" s="397">
        <v>8.1775000000000002</v>
      </c>
      <c r="Y58" s="397">
        <v>7.9141009999999996</v>
      </c>
      <c r="Z58" s="397">
        <v>7.8814997108988507</v>
      </c>
      <c r="AA58" s="397">
        <v>7.8547651546365591</v>
      </c>
      <c r="AB58" s="397">
        <v>7.9743909177155672</v>
      </c>
      <c r="AC58" s="397">
        <v>7.934194265104713</v>
      </c>
      <c r="AD58" s="397">
        <v>7.934194265104713</v>
      </c>
      <c r="AF58" t="s">
        <v>206</v>
      </c>
      <c r="AI58" t="s">
        <v>193</v>
      </c>
    </row>
    <row r="59" spans="1:41">
      <c r="A59" t="str">
        <f t="shared" si="22"/>
        <v>MJ/kWh cogenerative</v>
      </c>
      <c r="C59" s="394"/>
      <c r="D59" s="394">
        <f t="shared" ref="D59:J59" si="24">D57*($AG$52/10)</f>
        <v>8.1873440931283703</v>
      </c>
      <c r="E59" s="394">
        <f t="shared" si="24"/>
        <v>7.9913051732320834</v>
      </c>
      <c r="F59" s="394">
        <f t="shared" si="24"/>
        <v>7.7479076887239806</v>
      </c>
      <c r="G59" s="394">
        <f t="shared" si="24"/>
        <v>7.1200471373257219</v>
      </c>
      <c r="H59" s="394">
        <f t="shared" si="24"/>
        <v>7.7345327022865948</v>
      </c>
      <c r="I59" s="394">
        <f t="shared" si="24"/>
        <v>7.1337283703332757</v>
      </c>
      <c r="J59" s="394">
        <f t="shared" si="24"/>
        <v>6.4278259091291847</v>
      </c>
      <c r="K59" s="398">
        <f t="shared" ref="K59:T59" si="25">K55*($AG$52/10)</f>
        <v>7.1309117052</v>
      </c>
      <c r="L59" s="398">
        <f t="shared" si="25"/>
        <v>7.0045164</v>
      </c>
      <c r="M59" s="398">
        <f t="shared" si="25"/>
        <v>7.1091863999999996</v>
      </c>
      <c r="N59" s="398">
        <f t="shared" si="25"/>
        <v>6.9793956000000001</v>
      </c>
      <c r="O59" s="398">
        <f t="shared" si="25"/>
        <v>6.891472799999999</v>
      </c>
      <c r="P59" s="398">
        <f t="shared" si="25"/>
        <v>6.9779134728000001</v>
      </c>
      <c r="Q59" s="398">
        <f t="shared" si="25"/>
        <v>6.8789123999999999</v>
      </c>
      <c r="R59" s="398">
        <f t="shared" si="25"/>
        <v>6.9668351999999993</v>
      </c>
      <c r="S59" s="398">
        <f t="shared" si="25"/>
        <v>6.5355947999999993</v>
      </c>
      <c r="T59" s="398">
        <f t="shared" si="25"/>
        <v>6.6905064000000003</v>
      </c>
      <c r="U59" s="398">
        <v>6.5018254999999998</v>
      </c>
      <c r="V59" s="398">
        <v>6.4739750000000003</v>
      </c>
      <c r="W59" s="398">
        <v>6.4697570000000004</v>
      </c>
      <c r="X59" s="397">
        <v>6.5075250000000002</v>
      </c>
      <c r="Y59" s="397">
        <v>6.506818</v>
      </c>
      <c r="Z59" s="397">
        <v>6.5023637637689449</v>
      </c>
      <c r="AA59" s="397">
        <v>6.4576435685092521</v>
      </c>
      <c r="AB59" s="397">
        <v>6.3962077751170066</v>
      </c>
      <c r="AC59" s="397">
        <v>6.4557970136359293</v>
      </c>
      <c r="AD59" s="397">
        <v>6.4557970136359293</v>
      </c>
      <c r="AF59" t="s">
        <v>207</v>
      </c>
    </row>
    <row r="60" spans="1:41">
      <c r="C60" s="391"/>
      <c r="D60" s="391">
        <f>(D52)/D58</f>
        <v>202258.80859672825</v>
      </c>
      <c r="E60" s="391">
        <f t="shared" ref="E60:J60" si="26">(E52)/E58</f>
        <v>201223.51006354683</v>
      </c>
      <c r="F60" s="391">
        <f t="shared" si="26"/>
        <v>209122.69108546808</v>
      </c>
      <c r="G60" s="391">
        <f t="shared" si="26"/>
        <v>202681.81492451136</v>
      </c>
      <c r="H60" s="391">
        <f t="shared" si="26"/>
        <v>219629.08200157832</v>
      </c>
      <c r="I60" s="391">
        <f t="shared" si="26"/>
        <v>227818.42370532459</v>
      </c>
      <c r="J60" s="391">
        <f t="shared" si="26"/>
        <v>220646.31579584314</v>
      </c>
      <c r="K60" s="393">
        <f t="shared" ref="K60:T60" si="27">(K52)/K58</f>
        <v>236068.13758412405</v>
      </c>
      <c r="L60" s="393">
        <f t="shared" si="27"/>
        <v>226613.46333336702</v>
      </c>
      <c r="M60" s="393">
        <f t="shared" si="27"/>
        <v>248699.53563929661</v>
      </c>
      <c r="N60" s="393">
        <f t="shared" si="27"/>
        <v>244559.3116425651</v>
      </c>
      <c r="O60" s="393">
        <f t="shared" si="27"/>
        <v>207733.58224089872</v>
      </c>
      <c r="P60" s="393">
        <f t="shared" si="27"/>
        <v>212043.43716153249</v>
      </c>
      <c r="Q60" s="393">
        <f t="shared" si="27"/>
        <v>209847.0540306516</v>
      </c>
      <c r="R60" s="393">
        <f t="shared" si="27"/>
        <v>198704.74547812017</v>
      </c>
      <c r="S60" s="393">
        <f t="shared" si="27"/>
        <v>169281.77601023027</v>
      </c>
      <c r="T60" s="393">
        <f t="shared" si="27"/>
        <v>154217.85863331702</v>
      </c>
      <c r="U60" s="393">
        <f t="shared" ref="U60:Z60" si="28">(U52)/U58</f>
        <v>167864.45644302957</v>
      </c>
      <c r="V60" s="393">
        <f t="shared" si="28"/>
        <v>174803.33796481983</v>
      </c>
      <c r="W60" s="393">
        <f t="shared" si="28"/>
        <v>186540.10351477089</v>
      </c>
      <c r="X60" s="412">
        <f t="shared" si="28"/>
        <v>170703.72155205879</v>
      </c>
      <c r="Y60" s="412">
        <f t="shared" si="28"/>
        <v>176016.37813933252</v>
      </c>
      <c r="Z60" s="412">
        <f t="shared" si="28"/>
        <v>163208.33523829846</v>
      </c>
      <c r="AA60" s="412">
        <f>(AA52)/AA58</f>
        <v>171062.93338093651</v>
      </c>
      <c r="AB60" s="412">
        <f>(AB52)/AB58</f>
        <v>177651.97566086642</v>
      </c>
      <c r="AC60" s="412">
        <f>(AC52)/AC58</f>
        <v>144035.60335055817</v>
      </c>
      <c r="AD60" s="412">
        <f>(AD52)/AD58</f>
        <v>130962.17386486434</v>
      </c>
    </row>
    <row r="61" spans="1:41">
      <c r="C61" s="399"/>
      <c r="D61" s="399">
        <f t="shared" ref="D61:J61" si="29">(1/D58 - 1 / D59)</f>
        <v>-1.2989709678295214E-2</v>
      </c>
      <c r="E61" s="399">
        <f t="shared" si="29"/>
        <v>-1.7072399372011285E-2</v>
      </c>
      <c r="F61" s="399">
        <f t="shared" si="29"/>
        <v>-2.26503819646907E-2</v>
      </c>
      <c r="G61" s="399">
        <f t="shared" si="29"/>
        <v>-3.4123231417271457E-2</v>
      </c>
      <c r="H61" s="399">
        <f t="shared" si="29"/>
        <v>-2.1249033287295702E-2</v>
      </c>
      <c r="I61" s="399">
        <f t="shared" si="29"/>
        <v>-2.7451217090647767E-2</v>
      </c>
      <c r="J61" s="399">
        <f t="shared" si="29"/>
        <v>-4.5906617596464971E-2</v>
      </c>
      <c r="K61" s="144">
        <f t="shared" ref="K61:T61" si="30">(1/K58 - 1 / K59)</f>
        <v>-2.3592806118036547E-2</v>
      </c>
      <c r="L61" s="144">
        <f t="shared" si="30"/>
        <v>-3.3057157456497344E-2</v>
      </c>
      <c r="M61" s="144">
        <f t="shared" si="30"/>
        <v>-2.0937542873134055E-2</v>
      </c>
      <c r="N61" s="144">
        <f t="shared" si="30"/>
        <v>-2.2087156261488175E-2</v>
      </c>
      <c r="O61" s="144">
        <f t="shared" si="30"/>
        <v>-2.647566159156256E-2</v>
      </c>
      <c r="P61" s="144">
        <f t="shared" si="30"/>
        <v>-2.369799650050021E-2</v>
      </c>
      <c r="Q61" s="144">
        <f t="shared" si="30"/>
        <v>-2.5549997946766947E-2</v>
      </c>
      <c r="R61" s="144">
        <f t="shared" si="30"/>
        <v>-2.576974298211826E-2</v>
      </c>
      <c r="S61" s="144">
        <f t="shared" si="30"/>
        <v>-3.8452413393369342E-2</v>
      </c>
      <c r="T61" s="144">
        <f t="shared" si="30"/>
        <v>-3.7357900701220359E-2</v>
      </c>
      <c r="U61" s="144">
        <f t="shared" ref="U61:Z61" si="31">(1/U58 - 1 / U59)</f>
        <v>-3.7849704271764609E-2</v>
      </c>
      <c r="V61" s="144">
        <f t="shared" si="31"/>
        <v>-3.509639841729105E-2</v>
      </c>
      <c r="W61" s="144">
        <f t="shared" si="31"/>
        <v>-3.1274202383673441E-2</v>
      </c>
      <c r="X61" s="444">
        <f t="shared" si="31"/>
        <v>-3.1381490833417972E-2</v>
      </c>
      <c r="Y61" s="444">
        <f t="shared" si="31"/>
        <v>-2.7328210457446239E-2</v>
      </c>
      <c r="Z61" s="444">
        <f t="shared" si="31"/>
        <v>-2.6910821329501983E-2</v>
      </c>
      <c r="AA61" s="444">
        <f>(1/AA58 - 1 / AA59)</f>
        <v>-2.7543994791405735E-2</v>
      </c>
      <c r="AB61" s="444">
        <f>(1/AB58 - 1 / AB59)</f>
        <v>-3.0941211574265076E-2</v>
      </c>
      <c r="AC61" s="444">
        <f>(1/AC58 - 1 / AC59)</f>
        <v>-2.8862799339720552E-2</v>
      </c>
      <c r="AD61" s="444">
        <f>(1/AD58 - 1 / AD59)</f>
        <v>-2.8862799339720552E-2</v>
      </c>
      <c r="AI61" s="400" t="s">
        <v>194</v>
      </c>
    </row>
    <row r="62" spans="1:41">
      <c r="A62" t="s">
        <v>581</v>
      </c>
      <c r="B62" s="401"/>
      <c r="C62" s="391"/>
      <c r="D62" s="391">
        <v>207974</v>
      </c>
      <c r="E62" s="391">
        <v>209067</v>
      </c>
      <c r="F62" s="391">
        <v>220455.8</v>
      </c>
      <c r="G62" s="391">
        <v>219380.3</v>
      </c>
      <c r="H62" s="391">
        <v>231926.8</v>
      </c>
      <c r="I62" s="391">
        <v>242785.4</v>
      </c>
      <c r="J62" s="391">
        <v>246127.2</v>
      </c>
      <c r="K62" s="393">
        <v>253073.1</v>
      </c>
      <c r="L62" s="393">
        <v>262165.09999999998</v>
      </c>
      <c r="M62" s="393">
        <v>265764.30000000005</v>
      </c>
      <c r="N62" s="393">
        <v>261328.30000000002</v>
      </c>
      <c r="O62" s="393">
        <v>226638.2</v>
      </c>
      <c r="P62" s="748">
        <v>231247.9</v>
      </c>
      <c r="Q62" s="393">
        <v>228515.8</v>
      </c>
      <c r="R62" s="393">
        <v>217561.59999999998</v>
      </c>
      <c r="S62" s="748">
        <v>192987</v>
      </c>
      <c r="T62" s="393">
        <v>176170.90000000002</v>
      </c>
      <c r="U62" s="748">
        <v>192053.40000000002</v>
      </c>
      <c r="V62" s="393">
        <v>199429.6</v>
      </c>
      <c r="W62" s="393">
        <v>209484.49317200002</v>
      </c>
      <c r="X62" s="749">
        <v>192730.01972702003</v>
      </c>
      <c r="Y62" s="412">
        <v>195733.88719754</v>
      </c>
      <c r="Z62" s="749">
        <v>181306.58567227997</v>
      </c>
      <c r="AA62" s="412">
        <v>189711.10605539999</v>
      </c>
      <c r="AB62" s="749">
        <v>199218.02303983</v>
      </c>
      <c r="AC62" s="749">
        <v>162587.72462643901</v>
      </c>
      <c r="AD62" s="749">
        <v>152618.82034034177</v>
      </c>
      <c r="AE62" s="746">
        <v>142310.29996325378</v>
      </c>
      <c r="AF62" s="746">
        <v>129170.2179462043</v>
      </c>
      <c r="AG62" s="746">
        <v>120092.10280214529</v>
      </c>
      <c r="AH62" s="746">
        <v>102311.84490724948</v>
      </c>
      <c r="AI62" s="746">
        <v>97873.797733448562</v>
      </c>
      <c r="AJ62" s="746">
        <v>79948.201832712701</v>
      </c>
      <c r="AK62" s="746">
        <v>74796.133287654666</v>
      </c>
      <c r="AL62" s="746">
        <v>60564.266102754613</v>
      </c>
      <c r="AM62" s="746">
        <v>56294.89768645673</v>
      </c>
      <c r="AN62" s="746">
        <v>137090.4698548434</v>
      </c>
      <c r="AO62" s="746">
        <v>180210.03233267853</v>
      </c>
    </row>
    <row r="63" spans="1:41">
      <c r="A63" t="str">
        <f t="shared" si="22"/>
        <v>TJ input cogen</v>
      </c>
      <c r="B63" s="401"/>
      <c r="C63" s="391"/>
      <c r="D63" s="391">
        <f t="shared" ref="D63:K63" si="32">-(D62-D60)/D61</f>
        <v>439978.37864085473</v>
      </c>
      <c r="E63" s="391">
        <f t="shared" si="32"/>
        <v>459425.16722704447</v>
      </c>
      <c r="F63" s="391">
        <f t="shared" si="32"/>
        <v>500349.5716848796</v>
      </c>
      <c r="G63" s="391">
        <f t="shared" si="32"/>
        <v>489358.25775974715</v>
      </c>
      <c r="H63" s="391">
        <f t="shared" si="32"/>
        <v>578742.46946444293</v>
      </c>
      <c r="I63" s="391">
        <f t="shared" si="32"/>
        <v>545220.86380550452</v>
      </c>
      <c r="J63" s="391">
        <f t="shared" si="32"/>
        <v>555059.0642103639</v>
      </c>
      <c r="K63" s="393">
        <f t="shared" si="32"/>
        <v>720768.96367472678</v>
      </c>
      <c r="L63" s="393">
        <f t="shared" ref="L63:T63" si="33">-(L62-L60)/L61</f>
        <v>1075459.5797723476</v>
      </c>
      <c r="M63" s="393">
        <f t="shared" si="33"/>
        <v>815031.8527872744</v>
      </c>
      <c r="N63" s="393">
        <f t="shared" si="33"/>
        <v>759218.98495705542</v>
      </c>
      <c r="O63" s="393">
        <f t="shared" si="33"/>
        <v>714037.59614173137</v>
      </c>
      <c r="P63" s="393">
        <f t="shared" si="33"/>
        <v>810383.39414313529</v>
      </c>
      <c r="Q63" s="393">
        <f t="shared" si="33"/>
        <v>730675.04773364158</v>
      </c>
      <c r="R63" s="393">
        <f t="shared" si="33"/>
        <v>731743.98886960826</v>
      </c>
      <c r="S63" s="393">
        <f t="shared" si="33"/>
        <v>616482.0852013781</v>
      </c>
      <c r="T63" s="393">
        <f t="shared" si="33"/>
        <v>587641.19382023695</v>
      </c>
      <c r="U63" s="393">
        <f t="shared" ref="U63:Z63" si="34">-(U62-U60)/U61</f>
        <v>639078.79922367295</v>
      </c>
      <c r="V63" s="393">
        <f t="shared" si="34"/>
        <v>701674.90528166213</v>
      </c>
      <c r="W63" s="393">
        <f t="shared" si="34"/>
        <v>733652.27275011642</v>
      </c>
      <c r="X63" s="412">
        <f t="shared" si="34"/>
        <v>701888.20193034166</v>
      </c>
      <c r="Y63" s="412">
        <f t="shared" si="34"/>
        <v>721507.5092059297</v>
      </c>
      <c r="Z63" s="412">
        <f t="shared" si="34"/>
        <v>672526.86985590553</v>
      </c>
      <c r="AA63" s="412">
        <f>-(AA62-AA60)/AA61</f>
        <v>677032.24661812943</v>
      </c>
      <c r="AB63" s="412">
        <f>-(AB62-AB60)/AB61</f>
        <v>697000.74049139197</v>
      </c>
      <c r="AC63" s="412">
        <f>-(AC62-AC60)/AC61</f>
        <v>642769.29820697219</v>
      </c>
      <c r="AD63" s="412">
        <f>-(AD62-AD60)/AD61</f>
        <v>750330.77078126243</v>
      </c>
      <c r="AF63" t="s">
        <v>256</v>
      </c>
      <c r="AG63" s="112">
        <f>U63/6.502</f>
        <v>98289.572319851271</v>
      </c>
      <c r="AH63" t="s">
        <v>199</v>
      </c>
      <c r="AI63" t="s">
        <v>195</v>
      </c>
    </row>
    <row r="64" spans="1:41">
      <c r="A64" t="str">
        <f t="shared" si="22"/>
        <v>TJ input non cog</v>
      </c>
      <c r="B64" s="402"/>
      <c r="C64" s="402"/>
      <c r="D64" s="402">
        <f t="shared" ref="D64:I64" si="35">D52-D63</f>
        <v>1413056.6213591453</v>
      </c>
      <c r="E64" s="402">
        <f t="shared" si="35"/>
        <v>1402658.8327729555</v>
      </c>
      <c r="F64" s="402">
        <f t="shared" si="35"/>
        <v>1464780.4283151207</v>
      </c>
      <c r="G64" s="402">
        <f t="shared" si="35"/>
        <v>1416884.7422402529</v>
      </c>
      <c r="H64" s="402">
        <f t="shared" si="35"/>
        <v>1454083.5305355571</v>
      </c>
      <c r="I64" s="402">
        <f t="shared" si="35"/>
        <v>1475737.1361944953</v>
      </c>
      <c r="J64" s="402">
        <f t="shared" ref="J64:T64" si="36">J52-J63</f>
        <v>1456907.6757896361</v>
      </c>
      <c r="K64" s="125">
        <f t="shared" si="36"/>
        <v>1303105.0355252735</v>
      </c>
      <c r="L64" s="125">
        <f t="shared" si="36"/>
        <v>990148.44182765274</v>
      </c>
      <c r="M64" s="125">
        <f t="shared" si="36"/>
        <v>1262215.4728127259</v>
      </c>
      <c r="N64" s="125">
        <f t="shared" si="36"/>
        <v>1258734.8790429446</v>
      </c>
      <c r="O64" s="125">
        <f t="shared" si="36"/>
        <v>1037049.6358582687</v>
      </c>
      <c r="P64" s="125">
        <f t="shared" si="36"/>
        <v>962387.27505686507</v>
      </c>
      <c r="Q64" s="125">
        <f t="shared" si="36"/>
        <v>1020650.8318663583</v>
      </c>
      <c r="R64" s="125">
        <f t="shared" si="36"/>
        <v>955519.66393039178</v>
      </c>
      <c r="S64" s="125">
        <f t="shared" si="36"/>
        <v>861240.60119862214</v>
      </c>
      <c r="T64" s="125">
        <f t="shared" si="36"/>
        <v>787982.18777976325</v>
      </c>
      <c r="U64" s="125">
        <f t="shared" ref="U64:Z64" si="37">U52-U63</f>
        <v>808611.97077632707</v>
      </c>
      <c r="V64" s="125">
        <f t="shared" si="37"/>
        <v>762729.57031833811</v>
      </c>
      <c r="W64" s="125">
        <f t="shared" si="37"/>
        <v>779353.05474628601</v>
      </c>
      <c r="X64" s="445">
        <f t="shared" si="37"/>
        <v>694041.48106161912</v>
      </c>
      <c r="Y64" s="445">
        <f t="shared" si="37"/>
        <v>671503.8850429398</v>
      </c>
      <c r="Z64" s="445">
        <f t="shared" si="37"/>
        <v>613799.57714102638</v>
      </c>
      <c r="AA64" s="445">
        <f>AA52-AA63</f>
        <v>666626.92175236566</v>
      </c>
      <c r="AB64" s="445">
        <f>AB52-AB63</f>
        <v>719665.56073284813</v>
      </c>
      <c r="AC64" s="445">
        <f>AC52-AC63</f>
        <v>500037.15986792371</v>
      </c>
      <c r="AD64" s="445">
        <f>AD52-AD63</f>
        <v>288748.55804299051</v>
      </c>
      <c r="AF64" t="s">
        <v>255</v>
      </c>
      <c r="AG64" s="112">
        <f>U64/8.624</f>
        <v>93762.983624342189</v>
      </c>
      <c r="AH64" t="s">
        <v>199</v>
      </c>
      <c r="AI64" t="s">
        <v>198</v>
      </c>
    </row>
    <row r="65" spans="1:36">
      <c r="B65" s="403"/>
      <c r="C65" s="403"/>
      <c r="D65" s="403">
        <f t="shared" ref="D65:I65" si="38">SUM(D63:D64)</f>
        <v>1853035</v>
      </c>
      <c r="E65" s="403">
        <f t="shared" si="38"/>
        <v>1862084</v>
      </c>
      <c r="F65" s="403">
        <f t="shared" si="38"/>
        <v>1965130.0000000005</v>
      </c>
      <c r="G65" s="403">
        <f t="shared" si="38"/>
        <v>1906243</v>
      </c>
      <c r="H65" s="403">
        <f t="shared" si="38"/>
        <v>2032826</v>
      </c>
      <c r="I65" s="403">
        <f t="shared" si="38"/>
        <v>2020957.9999999998</v>
      </c>
      <c r="J65" s="403">
        <f t="shared" ref="J65:T65" si="39">SUM(J63:J64)</f>
        <v>2011966.74</v>
      </c>
      <c r="K65" s="404">
        <f>SUM(K63:K64)</f>
        <v>2023873.9992000004</v>
      </c>
      <c r="L65" s="404">
        <f t="shared" si="39"/>
        <v>2065608.0216000003</v>
      </c>
      <c r="M65" s="404">
        <f t="shared" si="39"/>
        <v>2077247.3256000003</v>
      </c>
      <c r="N65" s="404">
        <f t="shared" si="39"/>
        <v>2017953.8640000001</v>
      </c>
      <c r="O65" s="404">
        <f t="shared" si="39"/>
        <v>1751087.2320000001</v>
      </c>
      <c r="P65" s="404">
        <f t="shared" si="39"/>
        <v>1772770.6692000004</v>
      </c>
      <c r="Q65" s="404">
        <f t="shared" si="39"/>
        <v>1751325.8795999999</v>
      </c>
      <c r="R65" s="404">
        <f t="shared" si="39"/>
        <v>1687263.6528</v>
      </c>
      <c r="S65" s="404">
        <f t="shared" si="39"/>
        <v>1477722.6864000002</v>
      </c>
      <c r="T65" s="404">
        <f t="shared" si="39"/>
        <v>1375623.3816000002</v>
      </c>
      <c r="U65" s="404">
        <f t="shared" ref="U65:Z65" si="40">SUM(U63:U64)</f>
        <v>1447690.77</v>
      </c>
      <c r="V65" s="404">
        <f t="shared" si="40"/>
        <v>1464404.4756000002</v>
      </c>
      <c r="W65" s="404">
        <f t="shared" si="40"/>
        <v>1513005.3274964024</v>
      </c>
      <c r="X65" s="446">
        <f t="shared" si="40"/>
        <v>1395929.6829919608</v>
      </c>
      <c r="Y65" s="446">
        <f t="shared" si="40"/>
        <v>1393011.3942488695</v>
      </c>
      <c r="Z65" s="446">
        <f t="shared" si="40"/>
        <v>1286326.4469969319</v>
      </c>
      <c r="AA65" s="446">
        <f>SUM(AA63:AA64)</f>
        <v>1343659.1683704951</v>
      </c>
      <c r="AB65" s="446">
        <f>SUM(AB63:AB64)</f>
        <v>1416666.3012242401</v>
      </c>
      <c r="AC65" s="446">
        <f>SUM(AC63:AC64)</f>
        <v>1142806.4580748959</v>
      </c>
      <c r="AD65" s="446">
        <f>SUM(AD63:AD64)</f>
        <v>1039079.3288242529</v>
      </c>
    </row>
    <row r="66" spans="1:36">
      <c r="A66" t="str">
        <f t="shared" si="22"/>
        <v>ktep cogen</v>
      </c>
      <c r="B66" s="405"/>
      <c r="C66" s="405"/>
      <c r="D66" s="405">
        <f t="shared" ref="D66:Z66" si="41">D63/$AG$52</f>
        <v>10508.703034318685</v>
      </c>
      <c r="E66" s="405">
        <f t="shared" si="41"/>
        <v>10973.181599958069</v>
      </c>
      <c r="F66" s="405">
        <f t="shared" si="41"/>
        <v>11950.644207625861</v>
      </c>
      <c r="G66" s="405">
        <f t="shared" si="41"/>
        <v>11688.121184669608</v>
      </c>
      <c r="H66" s="405">
        <f t="shared" si="41"/>
        <v>13823.026403564605</v>
      </c>
      <c r="I66" s="405">
        <f t="shared" si="41"/>
        <v>13022.376607564356</v>
      </c>
      <c r="J66" s="405">
        <f t="shared" si="41"/>
        <v>13257.35798725432</v>
      </c>
      <c r="K66" s="125">
        <f t="shared" si="41"/>
        <v>17215.270939016114</v>
      </c>
      <c r="L66" s="199">
        <f t="shared" si="41"/>
        <v>25686.910761735635</v>
      </c>
      <c r="M66" s="199">
        <f t="shared" si="41"/>
        <v>19466.701365894583</v>
      </c>
      <c r="N66" s="199">
        <f t="shared" si="41"/>
        <v>18133.633919868524</v>
      </c>
      <c r="O66" s="199">
        <f t="shared" si="41"/>
        <v>17054.494987621365</v>
      </c>
      <c r="P66" s="199">
        <f t="shared" si="41"/>
        <v>19355.674838615058</v>
      </c>
      <c r="Q66" s="199">
        <f t="shared" si="41"/>
        <v>17451.873691928002</v>
      </c>
      <c r="R66" s="199">
        <f t="shared" si="41"/>
        <v>17477.404912334197</v>
      </c>
      <c r="S66" s="199">
        <f t="shared" si="41"/>
        <v>14724.421639471149</v>
      </c>
      <c r="T66" s="199">
        <f t="shared" si="41"/>
        <v>14035.568783324661</v>
      </c>
      <c r="U66" s="199">
        <f t="shared" si="41"/>
        <v>15264.134881620161</v>
      </c>
      <c r="V66" s="199">
        <f t="shared" si="41"/>
        <v>16759.217189301187</v>
      </c>
      <c r="W66" s="199">
        <f t="shared" si="41"/>
        <v>17522.983489780174</v>
      </c>
      <c r="X66" s="447">
        <f t="shared" si="41"/>
        <v>16764.311692231338</v>
      </c>
      <c r="Y66" s="447">
        <f t="shared" si="41"/>
        <v>17232.910795976157</v>
      </c>
      <c r="Z66" s="447">
        <f t="shared" si="41"/>
        <v>16063.028323681701</v>
      </c>
      <c r="AA66" s="447">
        <f t="shared" ref="AA66:AC67" si="42">AA63/$AG$52</f>
        <v>16170.637398923507</v>
      </c>
      <c r="AB66" s="447">
        <f t="shared" si="42"/>
        <v>16647.576681269511</v>
      </c>
      <c r="AC66" s="447">
        <f t="shared" si="42"/>
        <v>15352.280935487059</v>
      </c>
      <c r="AD66" s="447">
        <f t="shared" ref="AD66" si="43">AD63/$AG$52</f>
        <v>17921.342571445075</v>
      </c>
      <c r="AF66" t="s">
        <v>257</v>
      </c>
      <c r="AI66" t="s">
        <v>204</v>
      </c>
    </row>
    <row r="67" spans="1:36">
      <c r="A67" t="str">
        <f t="shared" si="22"/>
        <v>ktep non cogen</v>
      </c>
      <c r="B67" s="405"/>
      <c r="C67" s="405"/>
      <c r="D67" s="405">
        <f t="shared" ref="D67:Z67" si="44">D64/$AG$52</f>
        <v>33750.277571394508</v>
      </c>
      <c r="E67" s="405">
        <f t="shared" si="44"/>
        <v>33501.930657613346</v>
      </c>
      <c r="F67" s="405">
        <f t="shared" si="44"/>
        <v>34985.679476333251</v>
      </c>
      <c r="G67" s="405">
        <f t="shared" si="44"/>
        <v>33841.710667819163</v>
      </c>
      <c r="H67" s="405">
        <f t="shared" si="44"/>
        <v>34730.188462204002</v>
      </c>
      <c r="I67" s="405">
        <f t="shared" si="44"/>
        <v>35247.37594808673</v>
      </c>
      <c r="J67" s="405">
        <f t="shared" si="44"/>
        <v>34797.64201274568</v>
      </c>
      <c r="K67" s="199">
        <f t="shared" si="44"/>
        <v>31124.129060983891</v>
      </c>
      <c r="L67" s="199">
        <f t="shared" si="44"/>
        <v>23649.289238264369</v>
      </c>
      <c r="M67" s="199">
        <f t="shared" si="44"/>
        <v>30147.498634105425</v>
      </c>
      <c r="N67" s="199">
        <f t="shared" si="44"/>
        <v>30064.366080131473</v>
      </c>
      <c r="O67" s="199">
        <f t="shared" si="44"/>
        <v>24769.505012378635</v>
      </c>
      <c r="P67" s="199">
        <f t="shared" si="44"/>
        <v>22986.225161384948</v>
      </c>
      <c r="Q67" s="199">
        <f t="shared" si="44"/>
        <v>24377.826308071995</v>
      </c>
      <c r="R67" s="199">
        <f t="shared" si="44"/>
        <v>22822.195087665801</v>
      </c>
      <c r="S67" s="199">
        <f t="shared" si="44"/>
        <v>20570.378360528855</v>
      </c>
      <c r="T67" s="199">
        <f t="shared" si="44"/>
        <v>18820.631216675341</v>
      </c>
      <c r="U67" s="199">
        <f t="shared" si="44"/>
        <v>19313.365118379836</v>
      </c>
      <c r="V67" s="199">
        <f t="shared" si="44"/>
        <v>18217.482810698817</v>
      </c>
      <c r="W67" s="199">
        <f t="shared" si="44"/>
        <v>18614.527915025461</v>
      </c>
      <c r="X67" s="447">
        <f t="shared" si="44"/>
        <v>16576.895984083767</v>
      </c>
      <c r="Y67" s="447">
        <f t="shared" si="44"/>
        <v>16038.594751192792</v>
      </c>
      <c r="Z67" s="447">
        <f t="shared" si="44"/>
        <v>14660.35103518263</v>
      </c>
      <c r="AA67" s="447">
        <f t="shared" si="42"/>
        <v>15922.110484197134</v>
      </c>
      <c r="AB67" s="447">
        <f t="shared" si="42"/>
        <v>17188.916612516674</v>
      </c>
      <c r="AC67" s="447">
        <f t="shared" si="42"/>
        <v>11943.182379572076</v>
      </c>
      <c r="AD67" s="447">
        <f t="shared" ref="AD67" si="45">AD64/$AG$52</f>
        <v>6896.640824567462</v>
      </c>
      <c r="AF67" t="s">
        <v>258</v>
      </c>
      <c r="AI67" t="s">
        <v>205</v>
      </c>
    </row>
    <row r="68" spans="1:36">
      <c r="A68" t="str">
        <f t="shared" si="22"/>
        <v>ktep</v>
      </c>
      <c r="B68" s="406"/>
      <c r="C68" s="406"/>
      <c r="D68" s="406">
        <f t="shared" ref="D68:I68" si="46">SUM(D66:D67)</f>
        <v>44258.980605713194</v>
      </c>
      <c r="E68" s="406">
        <f t="shared" si="46"/>
        <v>44475.112257571411</v>
      </c>
      <c r="F68" s="406">
        <f t="shared" si="46"/>
        <v>46936.323683959112</v>
      </c>
      <c r="G68" s="406">
        <f t="shared" si="46"/>
        <v>45529.831852488773</v>
      </c>
      <c r="H68" s="406">
        <f t="shared" si="46"/>
        <v>48553.214865768605</v>
      </c>
      <c r="I68" s="406">
        <f t="shared" si="46"/>
        <v>48269.752555651088</v>
      </c>
      <c r="J68" s="406">
        <f t="shared" ref="J68:T68" si="47">SUM(J66:J67)</f>
        <v>48055</v>
      </c>
      <c r="K68" s="367">
        <f t="shared" si="47"/>
        <v>48339.400000000009</v>
      </c>
      <c r="L68" s="367">
        <f t="shared" si="47"/>
        <v>49336.200000000004</v>
      </c>
      <c r="M68" s="367">
        <f t="shared" si="47"/>
        <v>49614.200000000012</v>
      </c>
      <c r="N68" s="367">
        <f t="shared" si="47"/>
        <v>48198</v>
      </c>
      <c r="O68" s="367">
        <f t="shared" si="47"/>
        <v>41824</v>
      </c>
      <c r="P68" s="367">
        <f t="shared" si="47"/>
        <v>42341.900000000009</v>
      </c>
      <c r="Q68" s="367">
        <f t="shared" si="47"/>
        <v>41829.699999999997</v>
      </c>
      <c r="R68" s="367">
        <f t="shared" si="47"/>
        <v>40299.599999999999</v>
      </c>
      <c r="S68" s="367">
        <f t="shared" si="47"/>
        <v>35294.800000000003</v>
      </c>
      <c r="T68" s="367">
        <f t="shared" si="47"/>
        <v>32856.200000000004</v>
      </c>
      <c r="U68" s="367">
        <f t="shared" ref="U68:Z68" si="48">SUM(U66:U67)</f>
        <v>34577.5</v>
      </c>
      <c r="V68" s="367">
        <f t="shared" si="48"/>
        <v>34976.700000000004</v>
      </c>
      <c r="W68" s="367">
        <f t="shared" si="48"/>
        <v>36137.511404805635</v>
      </c>
      <c r="X68" s="448">
        <f t="shared" si="48"/>
        <v>33341.207676315105</v>
      </c>
      <c r="Y68" s="448">
        <f t="shared" si="48"/>
        <v>33271.505547168948</v>
      </c>
      <c r="Z68" s="448">
        <f t="shared" si="48"/>
        <v>30723.379358864331</v>
      </c>
      <c r="AA68" s="448">
        <f>SUM(AA66:AA67)</f>
        <v>32092.747883120639</v>
      </c>
      <c r="AB68" s="448">
        <f>SUM(AB66:AB67)</f>
        <v>33836.493293786189</v>
      </c>
      <c r="AC68" s="448">
        <f>SUM(AC66:AC67)</f>
        <v>27295.463315059133</v>
      </c>
      <c r="AD68" s="448">
        <f>SUM(AD66:AD67)</f>
        <v>24817.983396012536</v>
      </c>
      <c r="AF68" s="68" t="s">
        <v>200</v>
      </c>
      <c r="AG68" s="199">
        <f>U68*$AG$52</f>
        <v>1447690.77</v>
      </c>
    </row>
    <row r="69" spans="1:36">
      <c r="A69" t="str">
        <f t="shared" si="22"/>
        <v>ktep input destinati al calore</v>
      </c>
      <c r="B69" s="402"/>
      <c r="C69" s="402"/>
      <c r="D69" s="402">
        <f t="shared" ref="D69:V69" si="49">D42-D66</f>
        <v>8299.6969656813162</v>
      </c>
      <c r="E69" s="402">
        <f t="shared" si="49"/>
        <v>8260.41840004193</v>
      </c>
      <c r="F69" s="402">
        <f t="shared" si="49"/>
        <v>4058.1557923741384</v>
      </c>
      <c r="G69" s="402">
        <f t="shared" si="49"/>
        <v>5344.7788153303936</v>
      </c>
      <c r="H69" s="402">
        <f t="shared" si="49"/>
        <v>3729.0735964353935</v>
      </c>
      <c r="I69" s="402">
        <f t="shared" si="49"/>
        <v>4727.6233924356438</v>
      </c>
      <c r="J69" s="402">
        <f t="shared" si="49"/>
        <v>7427.6420127456804</v>
      </c>
      <c r="K69" s="203">
        <f t="shared" si="49"/>
        <v>3990.3290609838841</v>
      </c>
      <c r="L69" s="125">
        <f t="shared" si="49"/>
        <v>-3098.4107617356349</v>
      </c>
      <c r="M69" s="125">
        <f t="shared" si="49"/>
        <v>4261.698634105418</v>
      </c>
      <c r="N69" s="125">
        <f t="shared" si="49"/>
        <v>4327.4660801314749</v>
      </c>
      <c r="O69" s="125">
        <f t="shared" si="49"/>
        <v>4418.3050123786343</v>
      </c>
      <c r="P69" s="125">
        <f t="shared" si="49"/>
        <v>4643.1251613849417</v>
      </c>
      <c r="Q69" s="125">
        <f t="shared" si="49"/>
        <v>5068.8263080719989</v>
      </c>
      <c r="R69" s="125">
        <f t="shared" si="49"/>
        <v>4669.2950876658033</v>
      </c>
      <c r="S69" s="125">
        <f t="shared" si="49"/>
        <v>5327.87836052885</v>
      </c>
      <c r="T69" s="125">
        <f t="shared" si="49"/>
        <v>5009.3312166753403</v>
      </c>
      <c r="U69" s="125">
        <f t="shared" si="49"/>
        <v>5390.1651183798385</v>
      </c>
      <c r="V69" s="125">
        <f t="shared" si="49"/>
        <v>5404.9828106988134</v>
      </c>
      <c r="W69" s="125">
        <f t="shared" ref="W69:AB69" si="50">W42-W66</f>
        <v>5400.9165102198276</v>
      </c>
      <c r="X69" s="445">
        <f t="shared" si="50"/>
        <v>5311.1583077686628</v>
      </c>
      <c r="Y69" s="445">
        <f t="shared" si="50"/>
        <v>5262.7892040238439</v>
      </c>
      <c r="Z69" s="445">
        <f t="shared" si="50"/>
        <v>5269.8016763183005</v>
      </c>
      <c r="AA69" s="445">
        <f t="shared" si="50"/>
        <v>5050.5526010764952</v>
      </c>
      <c r="AB69" s="445">
        <f t="shared" si="50"/>
        <v>4940.8333187304888</v>
      </c>
      <c r="AC69" s="445">
        <f t="shared" ref="AC69:AD69" si="51">AC42-AC66</f>
        <v>4442.6990645129408</v>
      </c>
      <c r="AD69" s="445">
        <f t="shared" si="51"/>
        <v>1424.534330328559</v>
      </c>
      <c r="AF69" t="s">
        <v>201</v>
      </c>
    </row>
    <row r="70" spans="1:36">
      <c r="A70" t="str">
        <f t="shared" si="22"/>
        <v>ktep</v>
      </c>
      <c r="B70" s="406"/>
      <c r="C70" s="406"/>
      <c r="D70" s="406">
        <f t="shared" ref="D70:I70" si="52">SUM(D66:D67,D69)</f>
        <v>52558.67757139451</v>
      </c>
      <c r="E70" s="406">
        <f t="shared" si="52"/>
        <v>52735.530657613344</v>
      </c>
      <c r="F70" s="406">
        <f t="shared" si="52"/>
        <v>50994.479476333247</v>
      </c>
      <c r="G70" s="406">
        <f t="shared" si="52"/>
        <v>50874.610667819165</v>
      </c>
      <c r="H70" s="406">
        <f t="shared" si="52"/>
        <v>52282.288462204</v>
      </c>
      <c r="I70" s="406">
        <f t="shared" si="52"/>
        <v>52997.37594808673</v>
      </c>
      <c r="J70" s="406">
        <f t="shared" ref="J70:T70" si="53">SUM(J66:J67,J69)</f>
        <v>55482.64201274568</v>
      </c>
      <c r="K70" s="367">
        <f>SUM(K66:K67,K69)</f>
        <v>52329.729060983896</v>
      </c>
      <c r="L70" s="367">
        <f t="shared" si="53"/>
        <v>46237.789238264369</v>
      </c>
      <c r="M70" s="367">
        <f t="shared" si="53"/>
        <v>53875.898634105426</v>
      </c>
      <c r="N70" s="367">
        <f t="shared" si="53"/>
        <v>52525.466080131475</v>
      </c>
      <c r="O70" s="367">
        <f t="shared" si="53"/>
        <v>46242.305012378638</v>
      </c>
      <c r="P70" s="367">
        <f t="shared" si="53"/>
        <v>46985.025161384954</v>
      </c>
      <c r="Q70" s="367">
        <f t="shared" si="53"/>
        <v>46898.526308071996</v>
      </c>
      <c r="R70" s="367">
        <f t="shared" si="53"/>
        <v>44968.895087665805</v>
      </c>
      <c r="S70" s="367">
        <f t="shared" si="53"/>
        <v>40622.678360528851</v>
      </c>
      <c r="T70" s="367">
        <f t="shared" si="53"/>
        <v>37865.531216675343</v>
      </c>
      <c r="U70" s="367">
        <f t="shared" ref="U70:Z70" si="54">SUM(U66:U67,U69)</f>
        <v>39967.665118379839</v>
      </c>
      <c r="V70" s="367">
        <f t="shared" si="54"/>
        <v>40381.682810698818</v>
      </c>
      <c r="W70" s="367">
        <f t="shared" si="54"/>
        <v>41538.427915025459</v>
      </c>
      <c r="X70" s="448">
        <f t="shared" si="54"/>
        <v>38652.365984083764</v>
      </c>
      <c r="Y70" s="448">
        <f t="shared" si="54"/>
        <v>38534.294751192792</v>
      </c>
      <c r="Z70" s="448">
        <f t="shared" si="54"/>
        <v>35993.181035182628</v>
      </c>
      <c r="AA70" s="448">
        <f>SUM(AA66:AA67,AA69)</f>
        <v>37143.300484197134</v>
      </c>
      <c r="AB70" s="448">
        <f>SUM(AB66:AB67,AB69)</f>
        <v>38777.326612516677</v>
      </c>
      <c r="AC70" s="448">
        <f>SUM(AC66:AC67,AC69)</f>
        <v>31738.162379572073</v>
      </c>
      <c r="AD70" s="448">
        <f>SUM(AD66:AD67,AD69)</f>
        <v>26242.517726341095</v>
      </c>
      <c r="AF70" s="68" t="s">
        <v>200</v>
      </c>
      <c r="AG70" s="199">
        <f>U70*$AG$52</f>
        <v>1673366.203176327</v>
      </c>
      <c r="AI70" s="407" t="s">
        <v>50</v>
      </c>
      <c r="AJ70" s="144">
        <f>U69/U70</f>
        <v>0.13486314755727563</v>
      </c>
    </row>
    <row r="71" spans="1:36">
      <c r="F71" s="68">
        <f t="shared" ref="F71:V71" si="55">F4</f>
        <v>2000</v>
      </c>
      <c r="G71" s="68">
        <f t="shared" si="55"/>
        <v>2001</v>
      </c>
      <c r="H71" s="68">
        <f t="shared" si="55"/>
        <v>2002</v>
      </c>
      <c r="I71" s="68">
        <f t="shared" si="55"/>
        <v>2003</v>
      </c>
      <c r="J71" s="68">
        <f t="shared" si="55"/>
        <v>2004</v>
      </c>
      <c r="K71" s="68">
        <f t="shared" si="55"/>
        <v>2005</v>
      </c>
      <c r="L71" s="68">
        <f t="shared" si="55"/>
        <v>2006</v>
      </c>
      <c r="M71" s="68">
        <f t="shared" si="55"/>
        <v>2007</v>
      </c>
      <c r="N71" s="68">
        <f t="shared" si="55"/>
        <v>2008</v>
      </c>
      <c r="O71" s="68">
        <f t="shared" si="55"/>
        <v>2009</v>
      </c>
      <c r="P71" s="68">
        <f t="shared" si="55"/>
        <v>2010</v>
      </c>
      <c r="Q71" s="68">
        <f t="shared" si="55"/>
        <v>2011</v>
      </c>
      <c r="R71" s="68">
        <f t="shared" si="55"/>
        <v>2012</v>
      </c>
      <c r="S71" s="68">
        <f t="shared" si="55"/>
        <v>2013</v>
      </c>
      <c r="T71" s="68">
        <f t="shared" si="55"/>
        <v>2014</v>
      </c>
      <c r="U71" s="68">
        <f t="shared" si="55"/>
        <v>2015</v>
      </c>
      <c r="V71" s="68">
        <f t="shared" si="55"/>
        <v>2016</v>
      </c>
      <c r="W71" s="68">
        <f t="shared" ref="W71:AB71" si="56">W4</f>
        <v>2017</v>
      </c>
      <c r="X71" s="450">
        <f t="shared" si="56"/>
        <v>2018</v>
      </c>
      <c r="Y71" s="450">
        <f t="shared" si="56"/>
        <v>2019</v>
      </c>
      <c r="Z71" s="450">
        <f t="shared" si="56"/>
        <v>2020</v>
      </c>
      <c r="AA71" s="450">
        <f t="shared" si="56"/>
        <v>2021</v>
      </c>
      <c r="AB71" s="450">
        <f t="shared" si="56"/>
        <v>2022</v>
      </c>
      <c r="AC71" s="450">
        <f t="shared" ref="AC71:AD71" si="57">AC4</f>
        <v>2023</v>
      </c>
      <c r="AD71" s="450">
        <f t="shared" si="57"/>
        <v>2024</v>
      </c>
    </row>
    <row r="72" spans="1:36">
      <c r="B72" s="282">
        <f>V72-F72</f>
        <v>8.4545110786490962E-2</v>
      </c>
      <c r="C72" s="282">
        <f>V72-K72</f>
        <v>5.0677932131788839E-2</v>
      </c>
      <c r="D72" t="s">
        <v>573</v>
      </c>
      <c r="F72" s="408">
        <f t="shared" ref="F72:V72" si="58">((F62+F46)*3.6)/(F70*41.868)</f>
        <v>0.47008395819607984</v>
      </c>
      <c r="G72" s="408">
        <f t="shared" si="58"/>
        <v>0.46585929785048941</v>
      </c>
      <c r="H72" s="408">
        <f t="shared" si="58"/>
        <v>0.47173557135109434</v>
      </c>
      <c r="I72" s="409">
        <f t="shared" si="58"/>
        <v>0.48782012874954078</v>
      </c>
      <c r="J72" s="408">
        <f t="shared" si="58"/>
        <v>0.46304711045252883</v>
      </c>
      <c r="K72" s="408">
        <f>((K62+K46)*3.6)/(K70*41.868)</f>
        <v>0.50395113685078197</v>
      </c>
      <c r="L72" s="408">
        <f t="shared" si="58"/>
        <v>0.59543526738637598</v>
      </c>
      <c r="M72" s="408">
        <f t="shared" si="58"/>
        <v>0.51477362798807058</v>
      </c>
      <c r="N72" s="408">
        <f t="shared" si="58"/>
        <v>0.51800179468121554</v>
      </c>
      <c r="O72" s="408">
        <f t="shared" si="58"/>
        <v>0.51481396316159111</v>
      </c>
      <c r="P72" s="408">
        <f t="shared" si="58"/>
        <v>0.5261365019933999</v>
      </c>
      <c r="Q72" s="408">
        <f t="shared" si="58"/>
        <v>0.52888694356113208</v>
      </c>
      <c r="R72" s="408">
        <f t="shared" si="58"/>
        <v>0.52394720287115359</v>
      </c>
      <c r="S72" s="408">
        <f t="shared" si="58"/>
        <v>0.53357120338714303</v>
      </c>
      <c r="T72" s="408">
        <f t="shared" si="58"/>
        <v>0.52774559294255963</v>
      </c>
      <c r="U72" s="408">
        <f t="shared" si="58"/>
        <v>0.54068498002318999</v>
      </c>
      <c r="V72" s="408">
        <f t="shared" si="58"/>
        <v>0.55462906898257081</v>
      </c>
      <c r="W72" s="408">
        <f t="shared" ref="W72:AB72" si="59">((W62+W46)*3.6)/(W70*41.868)</f>
        <v>0.56006751687601253</v>
      </c>
      <c r="X72" s="416">
        <f t="shared" si="59"/>
        <v>0.56137051953094619</v>
      </c>
      <c r="Y72" s="416">
        <f t="shared" si="59"/>
        <v>0.57118691354478768</v>
      </c>
      <c r="Z72" s="416">
        <f t="shared" si="59"/>
        <v>0.57478276864680111</v>
      </c>
      <c r="AA72" s="416">
        <f t="shared" si="59"/>
        <v>0.57269841668863508</v>
      </c>
      <c r="AB72" s="416">
        <f t="shared" si="59"/>
        <v>0.56741950418684406</v>
      </c>
      <c r="AC72" s="416">
        <f t="shared" ref="AC72:AD72" si="60">((AC62+AC46)*3.6)/(AC70*41.868)</f>
        <v>0.57828759011661313</v>
      </c>
      <c r="AD72" s="416">
        <f t="shared" si="60"/>
        <v>0.66294642629562661</v>
      </c>
      <c r="AF72" s="68"/>
    </row>
    <row r="73" spans="1:36">
      <c r="B73" s="282">
        <f>V73-F73</f>
        <v>8.640343474511053E-2</v>
      </c>
      <c r="C73" s="282">
        <f>V73-K73</f>
        <v>4.0107161090900345E-2</v>
      </c>
      <c r="D73" t="s">
        <v>572</v>
      </c>
      <c r="F73" s="408">
        <f t="shared" ref="F73:V73" si="61">F62*3.6/F65</f>
        <v>0.40386176995923923</v>
      </c>
      <c r="G73" s="408">
        <f t="shared" si="61"/>
        <v>0.41430661253575751</v>
      </c>
      <c r="H73" s="408">
        <f t="shared" si="61"/>
        <v>0.41072697810830833</v>
      </c>
      <c r="I73" s="408">
        <f t="shared" si="61"/>
        <v>0.43248174380665011</v>
      </c>
      <c r="J73" s="408">
        <f t="shared" si="61"/>
        <v>0.44039392022951634</v>
      </c>
      <c r="K73" s="408">
        <f t="shared" si="61"/>
        <v>0.45015804361344941</v>
      </c>
      <c r="L73" s="408">
        <f t="shared" si="61"/>
        <v>0.45690874073433635</v>
      </c>
      <c r="M73" s="408">
        <f t="shared" si="61"/>
        <v>0.46058621340318651</v>
      </c>
      <c r="N73" s="408">
        <f t="shared" si="61"/>
        <v>0.46620584185962344</v>
      </c>
      <c r="O73" s="408">
        <f t="shared" si="61"/>
        <v>0.46593767865472047</v>
      </c>
      <c r="P73" s="408">
        <f t="shared" si="61"/>
        <v>0.46959962417230172</v>
      </c>
      <c r="Q73" s="408">
        <f t="shared" si="61"/>
        <v>0.46973375405603757</v>
      </c>
      <c r="R73" s="408">
        <f t="shared" si="61"/>
        <v>0.4641964275709074</v>
      </c>
      <c r="S73" s="408">
        <f t="shared" si="61"/>
        <v>0.47015127154374581</v>
      </c>
      <c r="T73" s="408">
        <f t="shared" si="61"/>
        <v>0.46103842700197384</v>
      </c>
      <c r="U73" s="408">
        <f t="shared" si="61"/>
        <v>0.47758281970672517</v>
      </c>
      <c r="V73" s="408">
        <f t="shared" si="61"/>
        <v>0.49026520470434976</v>
      </c>
      <c r="W73" s="408">
        <f t="shared" ref="W73:AB73" si="62">W62*3.6/W65</f>
        <v>0.49844118967320244</v>
      </c>
      <c r="X73" s="416">
        <f t="shared" si="62"/>
        <v>0.49703654809471365</v>
      </c>
      <c r="Y73" s="416">
        <f t="shared" si="62"/>
        <v>0.50584079701020424</v>
      </c>
      <c r="Z73" s="416">
        <f t="shared" si="62"/>
        <v>0.50741684581236368</v>
      </c>
      <c r="AA73" s="416">
        <f t="shared" si="62"/>
        <v>0.50828364653492497</v>
      </c>
      <c r="AB73" s="416">
        <f t="shared" si="62"/>
        <v>0.50624828325740412</v>
      </c>
      <c r="AC73" s="416">
        <f t="shared" ref="AC73:AD73" si="63">AC62*3.6/AC65</f>
        <v>0.51217404707457537</v>
      </c>
      <c r="AD73" s="416">
        <f t="shared" si="63"/>
        <v>0.52876401058514277</v>
      </c>
      <c r="AF73" s="68"/>
    </row>
    <row r="74" spans="1:36">
      <c r="B74" s="282">
        <f>V74-F74</f>
        <v>-2.887164623400218E-3</v>
      </c>
      <c r="C74" s="282">
        <f>V74-K74</f>
        <v>2.9990664037562897E-2</v>
      </c>
      <c r="D74" t="s">
        <v>575</v>
      </c>
      <c r="F74" s="408">
        <f t="shared" ref="F74:Z74" si="64">(F63/F59*3.6+F43*$AG$52)/(F63+F69*$AG$52)</f>
        <v>0.66017853295666307</v>
      </c>
      <c r="G74" s="408">
        <f t="shared" si="64"/>
        <v>0.63094276781712577</v>
      </c>
      <c r="H74" s="408">
        <f t="shared" si="64"/>
        <v>0.63554556357551562</v>
      </c>
      <c r="I74" s="409">
        <f t="shared" si="64"/>
        <v>0.65065220269967505</v>
      </c>
      <c r="J74" s="408">
        <f t="shared" si="64"/>
        <v>0.57785490806490802</v>
      </c>
      <c r="K74" s="408">
        <f t="shared" si="64"/>
        <v>0.62730070429569995</v>
      </c>
      <c r="L74" s="408">
        <f t="shared" si="64"/>
        <v>0.80533735179859745</v>
      </c>
      <c r="M74" s="408">
        <f t="shared" si="64"/>
        <v>0.62119489574939846</v>
      </c>
      <c r="N74" s="408">
        <f t="shared" si="64"/>
        <v>0.62737341464910468</v>
      </c>
      <c r="O74" s="408">
        <f t="shared" si="64"/>
        <v>0.61602651753174298</v>
      </c>
      <c r="P74" s="408">
        <f t="shared" si="64"/>
        <v>0.61764134321395137</v>
      </c>
      <c r="Q74" s="408">
        <f t="shared" si="64"/>
        <v>0.63445782738887913</v>
      </c>
      <c r="R74" s="408">
        <f t="shared" si="64"/>
        <v>0.62698118631040212</v>
      </c>
      <c r="S74" s="408">
        <f t="shared" si="64"/>
        <v>0.65787194771444268</v>
      </c>
      <c r="T74" s="408">
        <f t="shared" si="64"/>
        <v>0.6504417053320638</v>
      </c>
      <c r="U74" s="408">
        <f t="shared" si="64"/>
        <v>0.65593629713164114</v>
      </c>
      <c r="V74" s="408">
        <f t="shared" si="64"/>
        <v>0.65729136833326285</v>
      </c>
      <c r="W74" s="408">
        <f t="shared" si="64"/>
        <v>0.65443940112504517</v>
      </c>
      <c r="X74" s="416">
        <f t="shared" si="64"/>
        <v>0.65233551014767399</v>
      </c>
      <c r="Y74" s="416">
        <f t="shared" si="64"/>
        <v>0.65410636401669919</v>
      </c>
      <c r="Z74" s="416">
        <f t="shared" si="64"/>
        <v>0.65588636797375877</v>
      </c>
      <c r="AA74" s="416">
        <f>(AA63/AA59*3.6+AA43*$AG$52)/(AA63+AA69*$AG$52)</f>
        <v>0.65851535766534874</v>
      </c>
      <c r="AB74" s="416">
        <f>(AB63/AB59*3.6+AB43*$AG$52)/(AB63+AB69*$AG$52)</f>
        <v>0.65975950178260001</v>
      </c>
      <c r="AC74" s="416">
        <f>(AC63/AC59*3.6+AC43*$AG$52)/(AC63+AC69*$AG$52)</f>
        <v>0.65343729302889741</v>
      </c>
      <c r="AD74" s="416">
        <f>(AD63/AD59*3.6+AD43*$AG$52)/(AD63+AD69*$AG$52)</f>
        <v>0.73752949516192468</v>
      </c>
      <c r="AF74" s="68"/>
    </row>
    <row r="75" spans="1:36">
      <c r="B75" s="282">
        <f>V75-F75</f>
        <v>9.1431011976829735E-2</v>
      </c>
      <c r="C75" s="282">
        <f>V75-K75</f>
        <v>5.1228300892881107E-2</v>
      </c>
      <c r="D75" t="s">
        <v>576</v>
      </c>
      <c r="F75" s="408">
        <f t="shared" ref="F75:V75" si="65">(F63/F59*3.6)/F63</f>
        <v>0.46464157094170172</v>
      </c>
      <c r="G75" s="408">
        <f t="shared" si="65"/>
        <v>0.50561463015147323</v>
      </c>
      <c r="H75" s="408">
        <f t="shared" si="65"/>
        <v>0.46544505512734025</v>
      </c>
      <c r="I75" s="408">
        <f t="shared" si="65"/>
        <v>0.50464495045412205</v>
      </c>
      <c r="J75" s="408">
        <f t="shared" si="65"/>
        <v>0.56006495055926508</v>
      </c>
      <c r="K75" s="408">
        <f t="shared" si="65"/>
        <v>0.50484428202565035</v>
      </c>
      <c r="L75" s="408">
        <f t="shared" si="65"/>
        <v>0.51395411109323708</v>
      </c>
      <c r="M75" s="408">
        <f t="shared" si="65"/>
        <v>0.5063870599876239</v>
      </c>
      <c r="N75" s="408">
        <f t="shared" si="65"/>
        <v>0.51580397592020721</v>
      </c>
      <c r="O75" s="408">
        <f t="shared" si="65"/>
        <v>0.52238470708322327</v>
      </c>
      <c r="P75" s="408">
        <f t="shared" si="65"/>
        <v>0.51591353404321338</v>
      </c>
      <c r="Q75" s="408">
        <f t="shared" si="65"/>
        <v>0.52333854404077018</v>
      </c>
      <c r="R75" s="408">
        <f t="shared" si="65"/>
        <v>0.51673391097294807</v>
      </c>
      <c r="S75" s="408">
        <f t="shared" si="65"/>
        <v>0.55082974238243787</v>
      </c>
      <c r="T75" s="408">
        <f t="shared" si="65"/>
        <v>0.53807586223966553</v>
      </c>
      <c r="U75" s="408">
        <f t="shared" si="65"/>
        <v>0.55369065195613143</v>
      </c>
      <c r="V75" s="408">
        <f t="shared" si="65"/>
        <v>0.55607258291853146</v>
      </c>
      <c r="W75" s="408">
        <f t="shared" ref="W75:AB75" si="66">(W63/W59*3.6)/W63</f>
        <v>0.5564351180423005</v>
      </c>
      <c r="X75" s="416">
        <f t="shared" si="66"/>
        <v>0.55320571184897482</v>
      </c>
      <c r="Y75" s="416">
        <f t="shared" si="66"/>
        <v>0.55326582055929641</v>
      </c>
      <c r="Z75" s="416">
        <f t="shared" si="66"/>
        <v>0.55364481760604289</v>
      </c>
      <c r="AA75" s="416">
        <f t="shared" si="66"/>
        <v>0.5574788948642857</v>
      </c>
      <c r="AB75" s="416">
        <f t="shared" si="66"/>
        <v>0.56283349862476051</v>
      </c>
      <c r="AC75" s="416">
        <f t="shared" ref="AC75:AD75" si="67">(AC63/AC59*3.6)/AC63</f>
        <v>0.55763835083353497</v>
      </c>
      <c r="AD75" s="416">
        <f t="shared" si="67"/>
        <v>0.55763835083353508</v>
      </c>
      <c r="AE75" s="410"/>
      <c r="AF75" s="68"/>
    </row>
    <row r="76" spans="1:36">
      <c r="B76" s="282">
        <f>V76-F76</f>
        <v>4.6625352747468429E-2</v>
      </c>
      <c r="C76" s="282">
        <f>V76-K76</f>
        <v>9.8153686155648678E-3</v>
      </c>
      <c r="D76" t="s">
        <v>577</v>
      </c>
      <c r="F76" s="408">
        <f t="shared" ref="F76:V76" si="68">(F64/F58*3.6)/F64</f>
        <v>0.38310019586881527</v>
      </c>
      <c r="G76" s="408">
        <f t="shared" si="68"/>
        <v>0.3827709970492959</v>
      </c>
      <c r="H76" s="408">
        <f t="shared" si="68"/>
        <v>0.38894853529307571</v>
      </c>
      <c r="I76" s="408">
        <f t="shared" si="68"/>
        <v>0.40582056892779006</v>
      </c>
      <c r="J76" s="408">
        <f t="shared" si="68"/>
        <v>0.39480112721199123</v>
      </c>
      <c r="K76" s="408">
        <f t="shared" si="68"/>
        <v>0.41991018000071884</v>
      </c>
      <c r="L76" s="408">
        <f t="shared" si="68"/>
        <v>0.39494834424984648</v>
      </c>
      <c r="M76" s="408">
        <f t="shared" si="68"/>
        <v>0.43101190564434139</v>
      </c>
      <c r="N76" s="408">
        <f t="shared" si="68"/>
        <v>0.43629021337884971</v>
      </c>
      <c r="O76" s="408">
        <f t="shared" si="68"/>
        <v>0.42707232535359801</v>
      </c>
      <c r="P76" s="408">
        <f t="shared" si="68"/>
        <v>0.43060074664141268</v>
      </c>
      <c r="Q76" s="408">
        <f t="shared" si="68"/>
        <v>0.4313585514324092</v>
      </c>
      <c r="R76" s="408">
        <f t="shared" si="68"/>
        <v>0.42396283623732228</v>
      </c>
      <c r="S76" s="408">
        <f t="shared" si="68"/>
        <v>0.41240105416630818</v>
      </c>
      <c r="T76" s="408">
        <f t="shared" si="68"/>
        <v>0.40358741971527212</v>
      </c>
      <c r="U76" s="408">
        <f t="shared" si="68"/>
        <v>0.41743171657777894</v>
      </c>
      <c r="V76" s="408">
        <f t="shared" si="68"/>
        <v>0.4297255486162837</v>
      </c>
      <c r="W76" s="408">
        <f t="shared" ref="W76:AB76" si="69">(W64/W58*3.6)/W64</f>
        <v>0.44384798946107606</v>
      </c>
      <c r="X76" s="416">
        <f t="shared" si="69"/>
        <v>0.44023234484867013</v>
      </c>
      <c r="Y76" s="416">
        <f t="shared" si="69"/>
        <v>0.45488426291249001</v>
      </c>
      <c r="Z76" s="416">
        <f t="shared" si="69"/>
        <v>0.45676586081983578</v>
      </c>
      <c r="AA76" s="416">
        <f t="shared" si="69"/>
        <v>0.45832051361522497</v>
      </c>
      <c r="AB76" s="416">
        <f t="shared" si="69"/>
        <v>0.45144513695740612</v>
      </c>
      <c r="AC76" s="416">
        <f t="shared" ref="AC76:AD76" si="70">(AC64/AC58*3.6)/AC64</f>
        <v>0.45373227321054116</v>
      </c>
      <c r="AD76" s="416">
        <f t="shared" si="70"/>
        <v>0.45373227321054116</v>
      </c>
      <c r="AF76" s="68"/>
    </row>
    <row r="77" spans="1:36">
      <c r="U77" s="198"/>
      <c r="X77" s="451"/>
      <c r="Y77" s="451"/>
      <c r="Z77" s="451"/>
      <c r="AA77" s="451"/>
      <c r="AB77" s="451"/>
      <c r="AC77" s="451"/>
      <c r="AD77" s="451"/>
    </row>
    <row r="78" spans="1:36">
      <c r="F78" s="408">
        <f>F68/E68-1</f>
        <v>5.5339071706754561E-2</v>
      </c>
      <c r="G78" s="408">
        <f>G68/F68-1</f>
        <v>-2.9965956450718312E-2</v>
      </c>
      <c r="H78" s="408">
        <f>H68/G68-1</f>
        <v>6.6404440567126022E-2</v>
      </c>
      <c r="I78" s="408">
        <f>I68/H68-1</f>
        <v>-5.8381779847366255E-3</v>
      </c>
      <c r="J78" s="408">
        <f>J68/I68-1</f>
        <v>-4.449008836403201E-3</v>
      </c>
      <c r="K78" s="367">
        <f t="shared" ref="K78:Z78" si="71">(K65+K69*$AG$52)/1000</f>
        <v>2190.9410963252735</v>
      </c>
      <c r="L78" s="367">
        <f t="shared" si="71"/>
        <v>1935.8837598276527</v>
      </c>
      <c r="M78" s="367">
        <f t="shared" si="71"/>
        <v>2255.6761240127257</v>
      </c>
      <c r="N78" s="367">
        <f t="shared" si="71"/>
        <v>2199.1362138429449</v>
      </c>
      <c r="O78" s="367">
        <f t="shared" si="71"/>
        <v>1936.0728262582686</v>
      </c>
      <c r="P78" s="367">
        <f t="shared" si="71"/>
        <v>1967.1690334568652</v>
      </c>
      <c r="Q78" s="367">
        <f t="shared" si="71"/>
        <v>1963.5474994663582</v>
      </c>
      <c r="R78" s="367">
        <f t="shared" si="71"/>
        <v>1882.7576995303918</v>
      </c>
      <c r="S78" s="367">
        <f t="shared" si="71"/>
        <v>1700.7902975986221</v>
      </c>
      <c r="T78" s="367">
        <f t="shared" si="71"/>
        <v>1585.3540609797633</v>
      </c>
      <c r="U78" s="367">
        <f t="shared" si="71"/>
        <v>1673.366203176327</v>
      </c>
      <c r="V78" s="367">
        <f t="shared" si="71"/>
        <v>1690.7002959183383</v>
      </c>
      <c r="W78" s="367">
        <f t="shared" si="71"/>
        <v>1739.130899946286</v>
      </c>
      <c r="X78" s="448">
        <f t="shared" si="71"/>
        <v>1618.2972590216191</v>
      </c>
      <c r="Y78" s="448">
        <f t="shared" si="71"/>
        <v>1613.35385264294</v>
      </c>
      <c r="Z78" s="448">
        <f t="shared" si="71"/>
        <v>1506.9625035810266</v>
      </c>
      <c r="AA78" s="448">
        <f>(AA65+AA69*$AG$52)/1000</f>
        <v>1555.1157046723658</v>
      </c>
      <c r="AB78" s="448">
        <f>(AB65+AB69*$AG$52)/1000</f>
        <v>1623.5291106128484</v>
      </c>
      <c r="AC78" s="448">
        <f>(AC65+AC69*$AG$52)/1000</f>
        <v>1328.8133825079237</v>
      </c>
      <c r="AD78" s="448">
        <f>(AD65+AD69*$AG$52)/1000</f>
        <v>1098.7217321664491</v>
      </c>
      <c r="AF78" s="68" t="s">
        <v>274</v>
      </c>
    </row>
    <row r="79" spans="1:36">
      <c r="F79" s="408">
        <f t="shared" ref="F79:K79" si="72">F70/E70-1</f>
        <v>-3.3014765558801562E-2</v>
      </c>
      <c r="G79" s="408">
        <f t="shared" si="72"/>
        <v>-2.3506232389275405E-3</v>
      </c>
      <c r="H79" s="408">
        <f t="shared" si="72"/>
        <v>2.7669554143148645E-2</v>
      </c>
      <c r="I79" s="408">
        <f t="shared" si="72"/>
        <v>1.3677432777252641E-2</v>
      </c>
      <c r="J79" s="408">
        <f t="shared" si="72"/>
        <v>4.6894134288712364E-2</v>
      </c>
      <c r="K79" s="408">
        <f t="shared" si="72"/>
        <v>-5.6827015394066538E-2</v>
      </c>
      <c r="X79" s="451"/>
      <c r="Y79" s="451"/>
      <c r="Z79" s="451"/>
      <c r="AA79" s="451"/>
      <c r="AB79" s="451"/>
      <c r="AC79" s="451"/>
      <c r="AD79" s="451"/>
    </row>
    <row r="80" spans="1:36">
      <c r="D80" s="125">
        <f t="shared" ref="D80:L80" si="73">SUM(D82:D83)</f>
        <v>44258.175128149909</v>
      </c>
      <c r="E80" s="125">
        <f t="shared" si="73"/>
        <v>44475.363435405045</v>
      </c>
      <c r="F80" s="125">
        <f t="shared" si="73"/>
        <v>46936.323683959112</v>
      </c>
      <c r="G80" s="125">
        <f t="shared" si="73"/>
        <v>45529.831852488773</v>
      </c>
      <c r="H80" s="125">
        <f t="shared" si="73"/>
        <v>48553.598564145039</v>
      </c>
      <c r="I80" s="125">
        <f t="shared" si="73"/>
        <v>48269.540677472978</v>
      </c>
      <c r="J80" s="125">
        <f t="shared" si="73"/>
        <v>48055.153525984264</v>
      </c>
      <c r="K80" s="125">
        <f t="shared" si="73"/>
        <v>48339.396207400001</v>
      </c>
      <c r="L80" s="125">
        <f t="shared" si="73"/>
        <v>49334.336650000005</v>
      </c>
      <c r="M80" s="125">
        <f t="shared" ref="M80:V80" si="74">SUM(M82:M83)</f>
        <v>49619.031570000006</v>
      </c>
      <c r="N80" s="125">
        <f t="shared" si="74"/>
        <v>48198.314030000009</v>
      </c>
      <c r="O80" s="125">
        <f t="shared" si="74"/>
        <v>41814.843969999994</v>
      </c>
      <c r="P80" s="125">
        <f t="shared" si="74"/>
        <v>42341.899451039993</v>
      </c>
      <c r="Q80" s="125">
        <f t="shared" si="74"/>
        <v>41827.86179000001</v>
      </c>
      <c r="R80" s="125">
        <f t="shared" si="74"/>
        <v>40298.63708</v>
      </c>
      <c r="S80" s="125">
        <f t="shared" si="74"/>
        <v>35297.152603999995</v>
      </c>
      <c r="T80" s="125">
        <f t="shared" si="74"/>
        <v>32862.67</v>
      </c>
      <c r="U80" s="125">
        <f t="shared" si="74"/>
        <v>34577.495792568305</v>
      </c>
      <c r="V80" s="125">
        <f t="shared" si="74"/>
        <v>34977.59336481322</v>
      </c>
      <c r="W80" s="125">
        <f t="shared" ref="W80:AB80" si="75">SUM(W82:W83)</f>
        <v>36137.601158419318</v>
      </c>
      <c r="X80" s="445">
        <f t="shared" si="75"/>
        <v>33340.623674823255</v>
      </c>
      <c r="Y80" s="445">
        <f t="shared" si="75"/>
        <v>33270.473370535976</v>
      </c>
      <c r="Z80" s="445">
        <f t="shared" si="75"/>
        <v>30726.972902933026</v>
      </c>
      <c r="AA80" s="445">
        <f t="shared" si="75"/>
        <v>32092.687219117226</v>
      </c>
      <c r="AB80" s="445">
        <f t="shared" si="75"/>
        <v>33835.631393904645</v>
      </c>
      <c r="AC80" s="445">
        <f t="shared" ref="AC80:AD80" si="76">SUM(AC82:AC83)</f>
        <v>27294.339397391803</v>
      </c>
      <c r="AD80" s="445">
        <f t="shared" si="76"/>
        <v>25606.665430527846</v>
      </c>
    </row>
    <row r="81" spans="1:41">
      <c r="A81" s="411" t="s">
        <v>346</v>
      </c>
      <c r="B81" s="386"/>
      <c r="C81" s="386"/>
      <c r="D81" s="386"/>
      <c r="E81" s="386"/>
      <c r="F81" s="386"/>
      <c r="G81" s="386"/>
      <c r="H81" s="386"/>
      <c r="I81" s="386"/>
      <c r="J81" s="386"/>
      <c r="K81" s="386"/>
      <c r="L81" s="386"/>
      <c r="M81" s="386"/>
      <c r="N81" s="386"/>
      <c r="O81" s="386"/>
      <c r="P81" s="386"/>
      <c r="Q81" s="386"/>
      <c r="R81" s="386"/>
      <c r="S81" s="386"/>
      <c r="T81" s="386"/>
      <c r="U81" s="386"/>
      <c r="V81" s="386"/>
      <c r="W81" s="386"/>
      <c r="X81" s="439"/>
      <c r="Y81" s="439"/>
      <c r="Z81" s="439"/>
      <c r="AA81" s="439"/>
      <c r="AB81" s="439"/>
      <c r="AC81" s="439"/>
      <c r="AD81" s="439"/>
    </row>
    <row r="82" spans="1:41">
      <c r="A82" t="str">
        <f>A66</f>
        <v>ktep cogen</v>
      </c>
      <c r="B82" s="391"/>
      <c r="C82" s="412"/>
      <c r="D82" s="412">
        <f>D57*'6-y'!C13*100</f>
        <v>9171.358506919858</v>
      </c>
      <c r="E82" s="412">
        <f>E57*'6-y'!D13*100</f>
        <v>10053.836072772207</v>
      </c>
      <c r="F82" s="412">
        <f>F57*'6-y'!E13*100</f>
        <v>11122.026368586987</v>
      </c>
      <c r="G82" s="412">
        <f>G57*'6-y'!F13*100</f>
        <v>11111.851533390658</v>
      </c>
      <c r="H82" s="412">
        <f>H57*'6-y'!G13*100</f>
        <v>12959.055472740572</v>
      </c>
      <c r="I82" s="412">
        <f>I57*'6-y'!H13*100</f>
        <v>12249.402885258427</v>
      </c>
      <c r="J82" s="412">
        <f>J57*'6-y'!I13*100</f>
        <v>12762.615071794906</v>
      </c>
      <c r="K82" s="382">
        <f>K55*'6-y'!J13*100</f>
        <v>16082.7027703</v>
      </c>
      <c r="L82" s="412">
        <f>L55*'6-y'!K13*100</f>
        <v>17005.02447</v>
      </c>
      <c r="M82" s="412">
        <f>M55*'6-y'!L13*100</f>
        <v>18279.037919999999</v>
      </c>
      <c r="N82" s="412">
        <f>N55*'6-y'!M13*100</f>
        <v>17157.547490000001</v>
      </c>
      <c r="O82" s="412">
        <f>O55*'6-y'!N13*100</f>
        <v>16532.308779999996</v>
      </c>
      <c r="P82" s="382">
        <f>P55*'6-y'!O13*100</f>
        <v>18577.769632800002</v>
      </c>
      <c r="Q82" s="412">
        <f>Q55*'6-y'!P13*100</f>
        <v>16677.895840000001</v>
      </c>
      <c r="R82" s="412">
        <f>R55*'6-y'!Q13*100</f>
        <v>16779.57632</v>
      </c>
      <c r="S82" s="412">
        <f>S55*'6-y'!R13*100</f>
        <v>14250.812323999997</v>
      </c>
      <c r="T82" s="412">
        <f>T55*'6-y'!S13*100</f>
        <v>13607.08186</v>
      </c>
      <c r="U82" s="382">
        <f>U55*'6-y'!T13*100</f>
        <v>14888.680350142113</v>
      </c>
      <c r="V82" s="382">
        <f>V55*'6-y'!U13*100</f>
        <v>16255.571678370117</v>
      </c>
      <c r="W82" s="382">
        <f>W55*'6-y'!V13*100</f>
        <v>17017.818999515144</v>
      </c>
      <c r="X82" s="382">
        <f>X55*'6-y'!W13*100</f>
        <v>16307.778691781314</v>
      </c>
      <c r="Y82" s="382">
        <f>Y55*'6-y'!X13*100</f>
        <v>16669.688166007454</v>
      </c>
      <c r="Z82" s="382">
        <f>Z55*'6-y'!Y13*100</f>
        <v>15600.905129932167</v>
      </c>
      <c r="AA82" s="382">
        <f>AA55*'6-y'!Z13*100</f>
        <v>15668.931976927488</v>
      </c>
      <c r="AB82" s="382">
        <f>AB55*'6-y'!AA13*100</f>
        <v>16108.382108531572</v>
      </c>
      <c r="AC82" s="382">
        <f>AC55*'6-y'!AB13*100</f>
        <v>14849.566683863572</v>
      </c>
      <c r="AD82" s="382">
        <f>AD55*'6-y'!AC13*100</f>
        <v>13931.382633072377</v>
      </c>
    </row>
    <row r="83" spans="1:41">
      <c r="A83" t="str">
        <f>A67</f>
        <v>ktep non cogen</v>
      </c>
      <c r="B83" s="391"/>
      <c r="C83" s="412"/>
      <c r="D83" s="412">
        <f>D56*'6-y'!C6*100</f>
        <v>35086.816621230049</v>
      </c>
      <c r="E83" s="412">
        <f>E56*'6-y'!D6*100</f>
        <v>34421.527362632834</v>
      </c>
      <c r="F83" s="412">
        <f>F56*'6-y'!E6*100</f>
        <v>35814.297315372125</v>
      </c>
      <c r="G83" s="412">
        <f>G56*'6-y'!F6*100</f>
        <v>34417.980319098118</v>
      </c>
      <c r="H83" s="412">
        <f>H56*'6-y'!G6*100</f>
        <v>35594.543091404463</v>
      </c>
      <c r="I83" s="412">
        <f>I56*'6-y'!H6*100</f>
        <v>36020.137792214548</v>
      </c>
      <c r="J83" s="412">
        <f>J56*'6-y'!I6*100</f>
        <v>35292.538454189358</v>
      </c>
      <c r="K83" s="382">
        <f>K54*'6-y'!J6*100</f>
        <v>32256.693437099999</v>
      </c>
      <c r="L83" s="412">
        <f>L54*'6-y'!K6*100</f>
        <v>32329.312180000004</v>
      </c>
      <c r="M83" s="412">
        <f>M54*'6-y'!L6*100</f>
        <v>31339.993650000004</v>
      </c>
      <c r="N83" s="412">
        <f>N54*'6-y'!M6*100</f>
        <v>31040.766540000004</v>
      </c>
      <c r="O83" s="412">
        <f>O54*'6-y'!N6*100</f>
        <v>25282.535189999999</v>
      </c>
      <c r="P83" s="382">
        <f>P54*'6-y'!O6*100</f>
        <v>23764.129818239995</v>
      </c>
      <c r="Q83" s="412">
        <f>Q54*'6-y'!P6*100</f>
        <v>25149.965950000005</v>
      </c>
      <c r="R83" s="412">
        <f>R54*'6-y'!Q6*100</f>
        <v>23519.06076</v>
      </c>
      <c r="S83" s="412">
        <f>S54*'6-y'!R6*100</f>
        <v>21046.34028</v>
      </c>
      <c r="T83" s="412">
        <f>T54*'6-y'!S6*100</f>
        <v>19255.588139999996</v>
      </c>
      <c r="U83" s="382">
        <f>U54*'6-y'!T6*100</f>
        <v>19688.815442426192</v>
      </c>
      <c r="V83" s="382">
        <f>V54*'6-y'!U6*100</f>
        <v>18722.021686443106</v>
      </c>
      <c r="W83" s="382">
        <f>W54*'6-y'!V6*100</f>
        <v>19119.782158904174</v>
      </c>
      <c r="X83" s="382">
        <f>X54*'6-y'!W6*100</f>
        <v>17032.844983041941</v>
      </c>
      <c r="Y83" s="382">
        <f>Y54*'6-y'!X6*100</f>
        <v>16600.785204528522</v>
      </c>
      <c r="Z83" s="382">
        <f>Z54*'6-y'!Y6*100</f>
        <v>15126.067773000857</v>
      </c>
      <c r="AA83" s="382">
        <f>AA54*'6-y'!Z6*100</f>
        <v>16423.755242189738</v>
      </c>
      <c r="AB83" s="382">
        <f>AB54*'6-y'!AA6*100</f>
        <v>17727.249285373073</v>
      </c>
      <c r="AC83" s="382">
        <f>AC54*'6-y'!AB6*100</f>
        <v>12444.772713528231</v>
      </c>
      <c r="AD83" s="382">
        <f>AD54*'6-y'!AC6*100</f>
        <v>11675.282797455469</v>
      </c>
    </row>
    <row r="84" spans="1:41">
      <c r="A84" t="str">
        <f>A69</f>
        <v>ktep input destinati al calore</v>
      </c>
      <c r="B84" s="402"/>
      <c r="C84" s="402"/>
      <c r="D84" s="413">
        <f t="shared" ref="D84:I84" si="77">D42-D82</f>
        <v>9637.0414930801435</v>
      </c>
      <c r="E84" s="413">
        <f t="shared" si="77"/>
        <v>9179.763927227792</v>
      </c>
      <c r="F84" s="125">
        <f t="shared" si="77"/>
        <v>4886.7736314130125</v>
      </c>
      <c r="G84" s="125">
        <f>G42-G82</f>
        <v>5921.0484666093434</v>
      </c>
      <c r="H84" s="125">
        <f t="shared" si="77"/>
        <v>4593.0445272594261</v>
      </c>
      <c r="I84" s="125">
        <f t="shared" si="77"/>
        <v>5500.597114741573</v>
      </c>
      <c r="J84" s="413">
        <f t="shared" ref="J84:V84" si="78">J42-J82</f>
        <v>7922.3849282050942</v>
      </c>
      <c r="K84" s="203">
        <f t="shared" si="78"/>
        <v>5122.8972296999982</v>
      </c>
      <c r="L84" s="125">
        <f t="shared" si="78"/>
        <v>5583.4755299999997</v>
      </c>
      <c r="M84" s="125">
        <f t="shared" si="78"/>
        <v>5449.3620800000026</v>
      </c>
      <c r="N84" s="125">
        <f t="shared" si="78"/>
        <v>5303.5525099999977</v>
      </c>
      <c r="O84" s="125">
        <f t="shared" si="78"/>
        <v>4940.4912200000035</v>
      </c>
      <c r="P84" s="203">
        <f t="shared" si="78"/>
        <v>5421.0303671999973</v>
      </c>
      <c r="Q84" s="125">
        <f t="shared" si="78"/>
        <v>5842.8041599999997</v>
      </c>
      <c r="R84" s="125">
        <f t="shared" si="78"/>
        <v>5367.1236800000006</v>
      </c>
      <c r="S84" s="125">
        <f t="shared" si="78"/>
        <v>5801.4876760000025</v>
      </c>
      <c r="T84" s="125">
        <f t="shared" si="78"/>
        <v>5437.8181400000012</v>
      </c>
      <c r="U84" s="203">
        <f t="shared" si="78"/>
        <v>5765.6196498578865</v>
      </c>
      <c r="V84" s="203">
        <f t="shared" si="78"/>
        <v>5908.6283216298834</v>
      </c>
      <c r="W84" s="203">
        <f t="shared" ref="W84:AB84" si="79">W42-W82</f>
        <v>5906.0810004848572</v>
      </c>
      <c r="X84" s="452">
        <f t="shared" si="79"/>
        <v>5767.6913082186875</v>
      </c>
      <c r="Y84" s="452">
        <f t="shared" si="79"/>
        <v>5826.0118339925466</v>
      </c>
      <c r="Z84" s="452">
        <f t="shared" si="79"/>
        <v>5731.9248700678345</v>
      </c>
      <c r="AA84" s="452">
        <f t="shared" si="79"/>
        <v>5552.2580230725143</v>
      </c>
      <c r="AB84" s="246">
        <f t="shared" si="79"/>
        <v>5480.0278914684277</v>
      </c>
      <c r="AC84" s="246">
        <f t="shared" ref="AC84" si="80">AC42-AC82</f>
        <v>4945.413316136428</v>
      </c>
      <c r="AD84" s="246">
        <f>AD42-AD82</f>
        <v>5414.4942687012572</v>
      </c>
    </row>
    <row r="85" spans="1:41">
      <c r="B85" s="403"/>
      <c r="C85" s="403"/>
      <c r="D85" s="403">
        <f t="shared" ref="D85:I85" si="81">SUM(D82:D84)</f>
        <v>53895.216621230051</v>
      </c>
      <c r="E85" s="403">
        <f t="shared" si="81"/>
        <v>53655.127362632833</v>
      </c>
      <c r="F85" s="403">
        <f t="shared" si="81"/>
        <v>51823.097315372128</v>
      </c>
      <c r="G85" s="403">
        <f t="shared" si="81"/>
        <v>51450.880319098113</v>
      </c>
      <c r="H85" s="403">
        <f t="shared" si="81"/>
        <v>53146.643091404461</v>
      </c>
      <c r="I85" s="403">
        <f t="shared" si="81"/>
        <v>53770.137792214548</v>
      </c>
      <c r="J85" s="403">
        <f t="shared" ref="J85:O85" si="82">SUM(J82:J84)</f>
        <v>55977.538454189358</v>
      </c>
      <c r="K85" s="203">
        <f t="shared" si="82"/>
        <v>53462.293437100001</v>
      </c>
      <c r="L85" s="125">
        <f t="shared" si="82"/>
        <v>54917.812180000008</v>
      </c>
      <c r="M85" s="125">
        <f t="shared" si="82"/>
        <v>55068.393650000013</v>
      </c>
      <c r="N85" s="125">
        <f t="shared" si="82"/>
        <v>53501.866540000003</v>
      </c>
      <c r="O85" s="125">
        <f t="shared" si="82"/>
        <v>46755.335189999998</v>
      </c>
      <c r="P85" s="203">
        <f>SUM(P82:P84)</f>
        <v>47762.929818239994</v>
      </c>
      <c r="Q85" s="125">
        <f t="shared" ref="Q85:X85" si="83">SUM(Q82:Q84)</f>
        <v>47670.66595000001</v>
      </c>
      <c r="R85" s="125">
        <f t="shared" si="83"/>
        <v>45665.760760000005</v>
      </c>
      <c r="S85" s="125">
        <f t="shared" si="83"/>
        <v>41098.64028</v>
      </c>
      <c r="T85" s="125">
        <f t="shared" si="83"/>
        <v>38300.488140000001</v>
      </c>
      <c r="U85" s="203">
        <f t="shared" si="83"/>
        <v>40343.115442426191</v>
      </c>
      <c r="V85" s="203">
        <f t="shared" si="83"/>
        <v>40886.221686443103</v>
      </c>
      <c r="W85" s="203">
        <f t="shared" si="83"/>
        <v>42043.682158904179</v>
      </c>
      <c r="X85" s="452">
        <f t="shared" si="83"/>
        <v>39108.314983041942</v>
      </c>
      <c r="Y85" s="452">
        <f t="shared" ref="Y85:AD85" si="84">SUM(Y82:Y84)</f>
        <v>39096.485204528522</v>
      </c>
      <c r="Z85" s="452">
        <f t="shared" si="84"/>
        <v>36458.897773000863</v>
      </c>
      <c r="AA85" s="452">
        <f t="shared" si="84"/>
        <v>37644.945242189744</v>
      </c>
      <c r="AB85" s="452">
        <f t="shared" si="84"/>
        <v>39315.659285373069</v>
      </c>
      <c r="AC85" s="452">
        <f t="shared" si="84"/>
        <v>32239.752713528229</v>
      </c>
      <c r="AD85" s="452">
        <f t="shared" si="84"/>
        <v>31021.159699229102</v>
      </c>
    </row>
    <row r="86" spans="1:41">
      <c r="X86" s="388"/>
      <c r="Y86" s="388"/>
      <c r="Z86" s="388"/>
      <c r="AA86" s="388"/>
      <c r="AB86" s="388"/>
      <c r="AC86" s="388"/>
      <c r="AD86" s="388"/>
    </row>
    <row r="87" spans="1:41" ht="15.6">
      <c r="D87" s="359">
        <f t="shared" ref="D87:J87" si="85">D50</f>
        <v>1998</v>
      </c>
      <c r="E87" s="359">
        <f t="shared" si="85"/>
        <v>1999</v>
      </c>
      <c r="F87" s="359">
        <f t="shared" si="85"/>
        <v>2000</v>
      </c>
      <c r="G87" s="359">
        <f t="shared" si="85"/>
        <v>2001</v>
      </c>
      <c r="H87" s="359">
        <f t="shared" si="85"/>
        <v>2002</v>
      </c>
      <c r="I87" s="359">
        <f t="shared" si="85"/>
        <v>2003</v>
      </c>
      <c r="J87" s="359">
        <f t="shared" si="85"/>
        <v>2004</v>
      </c>
      <c r="K87" s="359">
        <f>K50</f>
        <v>2005</v>
      </c>
      <c r="L87" s="359">
        <f t="shared" ref="L87:X87" si="86">L50</f>
        <v>2006</v>
      </c>
      <c r="M87" s="359">
        <f t="shared" si="86"/>
        <v>2007</v>
      </c>
      <c r="N87" s="359">
        <f t="shared" si="86"/>
        <v>2008</v>
      </c>
      <c r="O87" s="359">
        <f t="shared" si="86"/>
        <v>2009</v>
      </c>
      <c r="P87" s="359">
        <f t="shared" si="86"/>
        <v>2010</v>
      </c>
      <c r="Q87" s="359">
        <f t="shared" si="86"/>
        <v>2011</v>
      </c>
      <c r="R87" s="359">
        <f t="shared" si="86"/>
        <v>2012</v>
      </c>
      <c r="S87" s="359">
        <f t="shared" si="86"/>
        <v>2013</v>
      </c>
      <c r="T87" s="359">
        <f t="shared" si="86"/>
        <v>2014</v>
      </c>
      <c r="U87" s="359">
        <f t="shared" si="86"/>
        <v>2015</v>
      </c>
      <c r="V87" s="359">
        <f t="shared" si="86"/>
        <v>2016</v>
      </c>
      <c r="W87" s="359">
        <f t="shared" si="86"/>
        <v>2017</v>
      </c>
      <c r="X87" s="359">
        <f t="shared" si="86"/>
        <v>2018</v>
      </c>
      <c r="Y87" s="359">
        <v>2019</v>
      </c>
      <c r="Z87" s="359">
        <v>2020</v>
      </c>
      <c r="AA87" s="359">
        <v>2021</v>
      </c>
      <c r="AB87" s="359">
        <f>AB4</f>
        <v>2022</v>
      </c>
      <c r="AC87" s="359">
        <f t="shared" ref="AC87" si="87">AC4</f>
        <v>2023</v>
      </c>
      <c r="AD87" s="359">
        <f t="shared" ref="AD87" si="88">AD4</f>
        <v>2024</v>
      </c>
      <c r="AE87" s="359">
        <v>2025</v>
      </c>
      <c r="AF87" s="68">
        <v>2026</v>
      </c>
      <c r="AG87" s="68">
        <v>2028</v>
      </c>
      <c r="AH87" s="68">
        <v>2030</v>
      </c>
      <c r="AI87" s="68">
        <v>2032</v>
      </c>
      <c r="AJ87" s="68">
        <v>2035</v>
      </c>
      <c r="AK87" s="68">
        <v>2040</v>
      </c>
      <c r="AL87" s="68">
        <v>2045</v>
      </c>
      <c r="AM87" s="68">
        <v>2050</v>
      </c>
      <c r="AN87" s="68">
        <v>2060</v>
      </c>
      <c r="AO87" s="68">
        <v>2080</v>
      </c>
    </row>
    <row r="88" spans="1:41">
      <c r="A88" s="68" t="str">
        <f>D72 &amp;" - "&amp;C88</f>
        <v>Rend tot - elc+heat/fuel tot</v>
      </c>
      <c r="B88" s="414"/>
      <c r="C88" s="416" t="s">
        <v>566</v>
      </c>
      <c r="D88" s="414">
        <f t="shared" ref="D88:V88" si="89">((D62+D46)*3.6)/(D85*41.868)</f>
        <v>0.49435268679074817</v>
      </c>
      <c r="E88" s="414">
        <f t="shared" si="89"/>
        <v>0.50015772106747303</v>
      </c>
      <c r="F88" s="414">
        <f t="shared" si="89"/>
        <v>0.46256761946323965</v>
      </c>
      <c r="G88" s="414">
        <f t="shared" si="89"/>
        <v>0.46064149451160835</v>
      </c>
      <c r="H88" s="414">
        <f t="shared" si="89"/>
        <v>0.46406346261311482</v>
      </c>
      <c r="I88" s="408">
        <f t="shared" si="89"/>
        <v>0.48080938267795925</v>
      </c>
      <c r="J88" s="408">
        <f t="shared" si="89"/>
        <v>0.45895331902275249</v>
      </c>
      <c r="K88" s="741">
        <f>((K62+K46)*3.6)/(K85*41.868)</f>
        <v>0.49327525543593176</v>
      </c>
      <c r="L88" s="741">
        <f>((L62+L46)*3.6)/(L85*41.868)</f>
        <v>0.50132387481501517</v>
      </c>
      <c r="M88" s="741">
        <f t="shared" si="89"/>
        <v>0.50362630835511901</v>
      </c>
      <c r="N88" s="741">
        <f t="shared" si="89"/>
        <v>0.50854834523639436</v>
      </c>
      <c r="O88" s="741">
        <f t="shared" si="89"/>
        <v>0.5091650869875789</v>
      </c>
      <c r="P88" s="743">
        <f t="shared" si="89"/>
        <v>0.51756742893612306</v>
      </c>
      <c r="Q88" s="741">
        <f t="shared" si="89"/>
        <v>0.5203203635253083</v>
      </c>
      <c r="R88" s="741">
        <f t="shared" si="89"/>
        <v>0.51595169784244399</v>
      </c>
      <c r="S88" s="743">
        <f>((S62+S46)*3.6)/(S85*41.868)</f>
        <v>0.52739193389286099</v>
      </c>
      <c r="T88" s="741">
        <f t="shared" si="89"/>
        <v>0.52175228553181907</v>
      </c>
      <c r="U88" s="743">
        <f t="shared" si="89"/>
        <v>0.53565313385240021</v>
      </c>
      <c r="V88" s="741">
        <f t="shared" si="89"/>
        <v>0.54778490693048398</v>
      </c>
      <c r="W88" s="741">
        <f t="shared" ref="W88:AB88" si="90">((W62+W46)*3.6)/(W85*41.868)</f>
        <v>0.55333698150827981</v>
      </c>
      <c r="X88" s="743">
        <f t="shared" si="90"/>
        <v>0.55482571373873157</v>
      </c>
      <c r="Y88" s="741">
        <f>((Y62+Y46)*3.6)/(Y85*41.868)</f>
        <v>0.56297349414953257</v>
      </c>
      <c r="Z88" s="743">
        <f t="shared" si="90"/>
        <v>0.56744063895228924</v>
      </c>
      <c r="AA88" s="741">
        <f t="shared" si="90"/>
        <v>0.56506681683388105</v>
      </c>
      <c r="AB88" s="743">
        <f t="shared" si="90"/>
        <v>0.55965006921177296</v>
      </c>
      <c r="AC88" s="743">
        <f t="shared" ref="AC88:AD88" si="91">((AC62+AC46)*3.6)/(AC85*41.868)</f>
        <v>0.56929051535531749</v>
      </c>
      <c r="AD88" s="743">
        <f t="shared" si="91"/>
        <v>0.56082311275131991</v>
      </c>
      <c r="AE88" s="745">
        <v>0.6001300318446724</v>
      </c>
      <c r="AF88" s="745">
        <v>0.60810287604869273</v>
      </c>
      <c r="AG88" s="745">
        <v>0.61661775054908741</v>
      </c>
      <c r="AH88" s="745">
        <v>0.63398408717697585</v>
      </c>
      <c r="AI88" s="745">
        <v>0.63348170329299558</v>
      </c>
      <c r="AJ88" s="745">
        <v>0.66535661333173146</v>
      </c>
      <c r="AK88" s="745">
        <v>0.67015288623140512</v>
      </c>
      <c r="AL88" s="745">
        <v>0.67418592317741033</v>
      </c>
      <c r="AM88" s="745">
        <v>0.71748322800905007</v>
      </c>
      <c r="AN88" s="745">
        <v>0.63420753713329681</v>
      </c>
      <c r="AO88" s="745">
        <v>0.71793933284061295</v>
      </c>
    </row>
    <row r="89" spans="1:41">
      <c r="A89" t="str">
        <f>D73 &amp;" - "&amp;C89</f>
        <v>Rend el. eq. - elc/fuel elc</v>
      </c>
      <c r="B89" s="414"/>
      <c r="C89" s="408" t="s">
        <v>567</v>
      </c>
      <c r="D89" s="414">
        <f>D62*3.6/((D82+D83)*41.868)</f>
        <v>0.40405066612203072</v>
      </c>
      <c r="E89" s="414">
        <f>E62*3.6/((E82+E83)*41.868)</f>
        <v>0.40419065380743047</v>
      </c>
      <c r="F89" s="414">
        <f>F62*3.6/((F82+F83)*41.868)</f>
        <v>0.40386176995923928</v>
      </c>
      <c r="G89" s="414">
        <f t="shared" ref="G89:V89" si="92">G62*3.6/((G82+G83)*41.868)</f>
        <v>0.41430661253575751</v>
      </c>
      <c r="H89" s="414">
        <f t="shared" si="92"/>
        <v>0.4107237323082169</v>
      </c>
      <c r="I89" s="408">
        <f>I62*3.6/((I82+I83)*41.868)</f>
        <v>0.43248364217656737</v>
      </c>
      <c r="J89" s="408">
        <f t="shared" si="92"/>
        <v>0.44039251326470386</v>
      </c>
      <c r="K89" s="380">
        <f>K62*3.6/((K82+K83)*41.868)</f>
        <v>0.45015807893183429</v>
      </c>
      <c r="L89" s="380">
        <f t="shared" si="92"/>
        <v>0.45692599810435203</v>
      </c>
      <c r="M89" s="380">
        <f t="shared" si="92"/>
        <v>0.4605413645929482</v>
      </c>
      <c r="N89" s="380">
        <f t="shared" si="92"/>
        <v>0.46620280435460959</v>
      </c>
      <c r="O89" s="380">
        <f t="shared" si="92"/>
        <v>0.46603970317421783</v>
      </c>
      <c r="P89" s="380">
        <f>P62*3.6/((P82+P83)*41.868)</f>
        <v>0.46959963026063073</v>
      </c>
      <c r="Q89" s="380">
        <f t="shared" si="92"/>
        <v>0.46975439745608444</v>
      </c>
      <c r="R89" s="380">
        <f t="shared" si="92"/>
        <v>0.46420751936101312</v>
      </c>
      <c r="S89" s="380">
        <f t="shared" si="92"/>
        <v>0.47011993531177143</v>
      </c>
      <c r="T89" s="380">
        <f t="shared" si="92"/>
        <v>0.46094765779111235</v>
      </c>
      <c r="U89" s="380">
        <f t="shared" si="92"/>
        <v>0.47758287781958286</v>
      </c>
      <c r="V89" s="380">
        <f t="shared" si="92"/>
        <v>0.49025268281130641</v>
      </c>
      <c r="W89" s="380">
        <f t="shared" ref="W89:AB89" si="93">W62*3.6/((W82+W83)*41.868)</f>
        <v>0.49843995171338923</v>
      </c>
      <c r="X89" s="380">
        <f t="shared" si="93"/>
        <v>0.49704525429314655</v>
      </c>
      <c r="Y89" s="380">
        <f t="shared" si="93"/>
        <v>0.5058564901157655</v>
      </c>
      <c r="Z89" s="380">
        <f t="shared" si="93"/>
        <v>0.50735750300621152</v>
      </c>
      <c r="AA89" s="380">
        <f t="shared" si="93"/>
        <v>0.5082846073307804</v>
      </c>
      <c r="AB89" s="380">
        <f t="shared" si="93"/>
        <v>0.5062611789923851</v>
      </c>
      <c r="AC89" s="380">
        <f t="shared" ref="AC89:AD89" si="94">AC62*3.6/((AC82+AC83)*41.868)</f>
        <v>0.51219513721535048</v>
      </c>
      <c r="AD89" s="380">
        <f t="shared" si="94"/>
        <v>0.51247814639176792</v>
      </c>
      <c r="AE89" s="747">
        <v>0.51125306973146711</v>
      </c>
      <c r="AF89" s="747">
        <v>0.51734677134693197</v>
      </c>
      <c r="AG89" s="747">
        <v>0.54983140579711065</v>
      </c>
      <c r="AH89" s="747">
        <v>0.57416538568994779</v>
      </c>
      <c r="AI89" s="747">
        <v>0.56866515378371796</v>
      </c>
      <c r="AJ89" s="747">
        <v>0.51140082276167342</v>
      </c>
      <c r="AK89" s="747">
        <v>0.50192157434355411</v>
      </c>
      <c r="AL89" s="747">
        <v>0.53411907150429228</v>
      </c>
      <c r="AM89" s="747">
        <v>0.51242786773782178</v>
      </c>
      <c r="AN89" s="747">
        <v>0.52323127344784104</v>
      </c>
      <c r="AO89" s="747">
        <v>0.53081205958100874</v>
      </c>
    </row>
    <row r="90" spans="1:41">
      <c r="A90" t="str">
        <f>D74 &amp;" - "&amp;C90</f>
        <v>Rend totale CHP - elc+heat/fuel tot</v>
      </c>
      <c r="B90" s="414"/>
      <c r="C90" s="416" t="s">
        <v>566</v>
      </c>
      <c r="D90" s="415">
        <f>(('6-y'!C13+D46/1000)*3.6)/((D82+D84)*41.868)*1000</f>
        <v>0.68019470654912917</v>
      </c>
      <c r="E90" s="415">
        <f>(('6-y'!D13+E46/1000)*3.6)/((E82+E84)*41.868)*1000</f>
        <v>0.696107268177794</v>
      </c>
      <c r="F90" s="414">
        <f>(('6-y'!E13+F46/1000)*3.6)/((F82+F84)*41.868)*1000</f>
        <v>0.63612861700785117</v>
      </c>
      <c r="G90" s="414">
        <f>(('6-y'!F13+G46/1000)*3.6)/((G82+G84)*41.868)*1000</f>
        <v>0.61383644026286743</v>
      </c>
      <c r="H90" s="414">
        <f>(('6-y'!G13+H46/1000)*3.6)/((H82+H84)*41.868)*1000</f>
        <v>0.61263485787501193</v>
      </c>
      <c r="I90" s="416">
        <f>(('6-y'!H13+I46/1000)*3.6)/((I82+I84)*41.868)*1000</f>
        <v>0.62867601758444036</v>
      </c>
      <c r="J90" s="417">
        <f>(('6-y'!I13+J46/1000)*3.6)/((J82+J84)*41.868)*1000</f>
        <v>0.56445929933943895</v>
      </c>
      <c r="K90" s="739">
        <f>(('6-y'!J13+K46/1000)*3.6)/((K82+K84)*41.868)*1000</f>
        <v>0.60033751702532845</v>
      </c>
      <c r="L90" s="739">
        <f>(('6-y'!K13+L46/1000)*3.6)/((L82+L84)*41.868)*1000</f>
        <v>0.60779917300489494</v>
      </c>
      <c r="M90" s="739">
        <f>(('6-y'!L13+M46/1000)*3.6)/((M82+M84)*41.868)*1000</f>
        <v>0.59584900640914251</v>
      </c>
      <c r="N90" s="739">
        <f>(('6-y'!M13+N46/1000)*3.6)/((N82+N84)*41.868)*1000</f>
        <v>0.60495824970313383</v>
      </c>
      <c r="O90" s="739">
        <f>(('6-y'!N13+O46/1000)*3.6)/((O82+O84)*41.868)*1000</f>
        <v>0.60332290695877699</v>
      </c>
      <c r="P90" s="739">
        <f>(('6-y'!O13+P46/1000)*3.6)/((P82+P84)*41.868)*1000</f>
        <v>0.60091834773573316</v>
      </c>
      <c r="Q90" s="739">
        <f>(('6-y'!P13+Q46/1000)*3.6)/((Q82+Q84)*41.868)*1000</f>
        <v>0.6164720435478882</v>
      </c>
      <c r="R90" s="739">
        <f>(('6-y'!Q13+R46/1000)*3.6)/((R82+R84)*41.868)*1000</f>
        <v>0.61069922567041512</v>
      </c>
      <c r="S90" s="739">
        <f>(('6-y'!R13+S46/1000)*3.6)/((S82+S84)*41.868)*1000</f>
        <v>0.64486206369959664</v>
      </c>
      <c r="T90" s="739">
        <f>(('6-y'!S13+T46/1000)*3.6)/((T82+T84)*41.868)*1000</f>
        <v>0.63833565748060017</v>
      </c>
      <c r="U90" s="739">
        <f>(('6-y'!T13+U46/1000)*3.6)/((U82+U84)*41.868)*1000</f>
        <v>0.64587129060447934</v>
      </c>
      <c r="V90" s="739">
        <f>(('6-y'!U13+V46/1000)*3.6)/((V82+V84)*41.868)*1000</f>
        <v>0.64465552042813812</v>
      </c>
      <c r="W90" s="739">
        <f>(('6-y'!V13+W46/1000)*3.6)/((W82+W84)*41.868)*1000</f>
        <v>0.64217747087882182</v>
      </c>
      <c r="X90" s="739">
        <f>(('6-y'!W13+X46/1000)*3.6)/((X82+X84)*41.868)*1000</f>
        <v>0.64089490827163231</v>
      </c>
      <c r="Y90" s="739">
        <f>(('6-y'!X13+Y46/1000)*3.6)/((Y82+Y84)*41.868)*1000</f>
        <v>0.64025430204364653</v>
      </c>
      <c r="Z90" s="739">
        <f>(('6-y'!Y13+Z46/1000)*3.6)/((Z82+Z84)*41.868)*1000</f>
        <v>0.64389301728775117</v>
      </c>
      <c r="AA90" s="739">
        <f>(('6-y'!Z13+AA46/1000)*3.6)/((AA82+AA84)*41.868)*1000</f>
        <v>0.64533559799109108</v>
      </c>
      <c r="AB90" s="739">
        <f>(('6-y'!AA13+AB46/1000)*3.6)/((AB82+AB84)*41.868)*1000</f>
        <v>0.64570210858812294</v>
      </c>
      <c r="AC90" s="739">
        <f>(('6-y'!AB13+AC46/1000)*3.6)/((AC82+AC84)*41.868)*1000</f>
        <v>0.63927548300353576</v>
      </c>
      <c r="AD90" s="739">
        <f>(('6-y'!AC13+AD46/1000)*3.6)/((AD82+AD84)*41.868)*1000</f>
        <v>0.62252025101016228</v>
      </c>
    </row>
    <row r="91" spans="1:41">
      <c r="A91" t="str">
        <f>D75 &amp;" - "&amp;C91</f>
        <v>Rend el. eq. CHP - elc/fuel elc</v>
      </c>
      <c r="B91" s="408"/>
      <c r="C91" s="408" t="s">
        <v>567</v>
      </c>
      <c r="D91" s="418">
        <f>(('6-y'!C13)*3.6)/(D82*41.868)*1000</f>
        <v>0.43970302934030536</v>
      </c>
      <c r="E91" s="418">
        <f>(('6-y'!D13)*3.6)/(E82*41.868)*1000</f>
        <v>0.45048961614664251</v>
      </c>
      <c r="F91" s="408">
        <f>(('6-y'!E13)*3.6)/(F82*41.868)*1000</f>
        <v>0.46464157094170172</v>
      </c>
      <c r="G91" s="408">
        <f>(('6-y'!F13)*3.6)/(G82*41.868)*1000</f>
        <v>0.50561463015147301</v>
      </c>
      <c r="H91" s="408">
        <f>(('6-y'!G13)*3.6)/(H82*41.868)*1000</f>
        <v>0.46544505512734025</v>
      </c>
      <c r="I91" s="408">
        <f>(('6-y'!H13)*3.6)/(I82*41.868)*1000</f>
        <v>0.50464495045412194</v>
      </c>
      <c r="J91" s="418">
        <f>(('6-y'!I13)*3.6)/(J82*41.868)*1000</f>
        <v>0.56006495055926508</v>
      </c>
      <c r="K91" s="740">
        <f>(('6-y'!J13)*3.6)/(K82*41.868)*1000</f>
        <v>0.50484428202565024</v>
      </c>
      <c r="L91" s="740">
        <f>(('6-y'!K13)*3.6)/(L82*41.868)*1000</f>
        <v>0.51395411109323685</v>
      </c>
      <c r="M91" s="740">
        <f>(('6-y'!L13)*3.6)/(M82*41.868)*1000</f>
        <v>0.50638705998762401</v>
      </c>
      <c r="N91" s="740">
        <f>(('6-y'!M13)*3.6)/(N82*41.868)*1000</f>
        <v>0.51580397592020721</v>
      </c>
      <c r="O91" s="740">
        <f>(('6-y'!N13)*3.6)/(O82*41.868)*1000</f>
        <v>0.52238470708322327</v>
      </c>
      <c r="P91" s="740">
        <f>(('6-y'!O13)*3.6)/(P82*41.868)*1000</f>
        <v>0.51591353404321327</v>
      </c>
      <c r="Q91" s="740">
        <f>(('6-y'!P13)*3.6)/(Q82*41.868)*1000</f>
        <v>0.52333854404077007</v>
      </c>
      <c r="R91" s="740">
        <f>(('6-y'!Q13)*3.6)/(R82*41.868)*1000</f>
        <v>0.51673391097294807</v>
      </c>
      <c r="S91" s="740">
        <f>(('6-y'!R13)*3.6)/(S82*41.868)*1000</f>
        <v>0.55082974238243787</v>
      </c>
      <c r="T91" s="740">
        <f>(('6-y'!S13)*3.6)/(T82*41.868)*1000</f>
        <v>0.53807586223966541</v>
      </c>
      <c r="U91" s="740">
        <f>(('6-y'!T13)*3.6)/(U82*41.868)*1000</f>
        <v>0.55369065195613132</v>
      </c>
      <c r="V91" s="740">
        <f>(('6-y'!U13)*3.6)/(V82*41.868)*1000</f>
        <v>0.55607258291853134</v>
      </c>
      <c r="W91" s="740">
        <f>(('6-y'!V13)*3.6)/(W82*41.868)*1000</f>
        <v>0.55643511804230039</v>
      </c>
      <c r="X91" s="740">
        <f>(('6-y'!W13)*3.6)/(X82*41.868)*1000</f>
        <v>0.55320571184897482</v>
      </c>
      <c r="Y91" s="740">
        <f>(('6-y'!X13)*3.6)/(Y82*41.868)*1000</f>
        <v>0.5532658205592963</v>
      </c>
      <c r="Z91" s="740">
        <f>(('6-y'!Y13)*3.6)/(Z82*41.868)*1000</f>
        <v>0.55364481760604289</v>
      </c>
      <c r="AA91" s="740">
        <f>(('6-y'!Z13)*3.6)/(AA82*41.868)*1000</f>
        <v>0.5574788948642857</v>
      </c>
      <c r="AB91" s="740">
        <f>(('6-y'!AA13)*3.6)/(AB82*41.868)*1000</f>
        <v>0.5628334986247604</v>
      </c>
      <c r="AC91" s="740">
        <f>(('6-y'!AB13)*3.6)/(AC82*41.868)*1000</f>
        <v>0.55763835083353497</v>
      </c>
      <c r="AD91" s="740">
        <f>(('6-y'!AC13)*3.6)/(AD82*41.868)*1000</f>
        <v>0.55763835083353497</v>
      </c>
    </row>
    <row r="92" spans="1:41">
      <c r="A92" t="str">
        <f>D76 &amp;" - "&amp;C92</f>
        <v>Rend el. no CHP - elc/fuel tot</v>
      </c>
      <c r="B92" s="408"/>
      <c r="C92" t="s">
        <v>565</v>
      </c>
      <c r="D92" s="408">
        <f>(('6-y'!C6)*3.6)/(D83*41.868)*1000</f>
        <v>0.39294007449844259</v>
      </c>
      <c r="E92" s="408">
        <f>(('6-y'!D6)*3.6)/(E83*41.868)*1000</f>
        <v>0.38902897840740192</v>
      </c>
      <c r="F92" s="408">
        <f>(('6-y'!E6)*3.6)/(F83*41.868)*1000</f>
        <v>0.38310019586881522</v>
      </c>
      <c r="G92" s="408">
        <f>(('6-y'!F6)*3.6)/(G83*41.868)*1000</f>
        <v>0.38277099704929601</v>
      </c>
      <c r="H92" s="408">
        <f>(('6-y'!G6)*3.6)/(H83*41.868)*1000</f>
        <v>0.3889485352930756</v>
      </c>
      <c r="I92" s="408">
        <f>(('6-y'!H6)*3.6)/(I83*41.868)*1000</f>
        <v>0.40582056892779</v>
      </c>
      <c r="J92" s="408">
        <f>(('6-y'!I6)*3.6)/(J83*41.868)*1000</f>
        <v>0.39480112721199112</v>
      </c>
      <c r="K92" s="740">
        <f>(('6-y'!J6)*3.6)/(K83*41.868)*1000</f>
        <v>0.4199199116734747</v>
      </c>
      <c r="L92" s="740">
        <f>(('6-y'!K6)*3.6)/(L83*41.868)*1000</f>
        <v>0.4241959683566775</v>
      </c>
      <c r="M92" s="740">
        <f>(('6-y'!L6)*3.6)/(M83*41.868)*1000</f>
        <v>0.43100011421503026</v>
      </c>
      <c r="N92" s="740">
        <f>(('6-y'!M6)*3.6)/(N83*41.868)*1000</f>
        <v>0.43624821301825734</v>
      </c>
      <c r="O92" s="740">
        <f>(('6-y'!N6)*3.6)/(O83*41.868)*1000</f>
        <v>0.42714616386437421</v>
      </c>
      <c r="P92" s="740">
        <f>(('6-y'!O6)*3.6)/(P83*41.868)*1000</f>
        <v>0.4305831284485328</v>
      </c>
      <c r="Q92" s="740">
        <f>(('6-y'!P6)*3.6)/(Q83*41.868)*1000</f>
        <v>0.43143262812794042</v>
      </c>
      <c r="R92" s="740">
        <f>(('6-y'!Q6)*3.6)/(R83*41.868)*1000</f>
        <v>0.42398679874703415</v>
      </c>
      <c r="S92" s="740">
        <f>(('6-y'!R6)*3.6)/(S83*41.868)*1000</f>
        <v>0.41239579273812249</v>
      </c>
      <c r="T92" s="740">
        <f>(('6-y'!S6)*3.6)/(T83*41.868)*1000</f>
        <v>0.40349377187188434</v>
      </c>
      <c r="U92" s="740">
        <f>(('6-y'!T6)*3.6)/(U83*41.868)*1000</f>
        <v>0.41743171657777883</v>
      </c>
      <c r="V92" s="740">
        <f>(('6-y'!U6)*3.6)/(V83*41.868)*1000</f>
        <v>0.42972554861628376</v>
      </c>
      <c r="W92" s="740">
        <f>(('6-y'!V6)*3.6)/(W83*41.868)*1000</f>
        <v>0.44384798946107612</v>
      </c>
      <c r="X92" s="740">
        <f>(('6-y'!W6)*3.6)/(X83*41.868)*1000</f>
        <v>0.44023234484867019</v>
      </c>
      <c r="Y92" s="740">
        <f>(('6-y'!X6)*3.6)/(Y83*41.868)*1000</f>
        <v>0.45488426291248996</v>
      </c>
      <c r="Z92" s="740">
        <f>(('6-y'!Y6)*3.6)/(Z83*41.868)*1000</f>
        <v>0.45676586081983572</v>
      </c>
      <c r="AA92" s="740">
        <f>(('6-y'!Z6)*3.6)/(AA83*41.868)*1000</f>
        <v>0.45832051361522497</v>
      </c>
      <c r="AB92" s="740">
        <f>(('6-y'!AA6)*3.6)/(AB83*41.868)*1000</f>
        <v>0.45144513695740618</v>
      </c>
      <c r="AC92" s="740">
        <f>(('6-y'!AB6)*3.6)/(AC83*41.868)*1000</f>
        <v>0.4537322732105411</v>
      </c>
      <c r="AD92" s="740">
        <f>(('6-y'!AC6)*3.6)/(AD83*41.868)*1000</f>
        <v>0.45373227321054105</v>
      </c>
      <c r="AE92" s="56"/>
      <c r="AF92" s="56"/>
      <c r="AG92" s="56"/>
      <c r="AH92" s="56"/>
      <c r="AI92" s="56"/>
      <c r="AJ92" s="56"/>
      <c r="AK92" s="56"/>
    </row>
    <row r="93" spans="1:41">
      <c r="A93" s="68" t="s">
        <v>478</v>
      </c>
      <c r="K93" s="286">
        <f>K43/K84</f>
        <v>0.90012672735156551</v>
      </c>
      <c r="L93" s="286">
        <f t="shared" ref="L93:AA93" si="95">L43/L84</f>
        <v>0.89361354894725875</v>
      </c>
      <c r="M93" s="286">
        <f t="shared" si="95"/>
        <v>0.89593519760529505</v>
      </c>
      <c r="N93" s="286">
        <f t="shared" si="95"/>
        <v>0.89338165712349837</v>
      </c>
      <c r="O93" s="286">
        <f t="shared" si="95"/>
        <v>0.87416547156513735</v>
      </c>
      <c r="P93" s="286">
        <f t="shared" si="95"/>
        <v>0.89222825369266801</v>
      </c>
      <c r="Q93" s="286">
        <f t="shared" si="95"/>
        <v>0.88231542310665256</v>
      </c>
      <c r="R93" s="286">
        <f t="shared" si="95"/>
        <v>0.9044688988520414</v>
      </c>
      <c r="S93" s="286">
        <f t="shared" si="95"/>
        <v>0.8758436736449996</v>
      </c>
      <c r="T93" s="286">
        <f t="shared" si="95"/>
        <v>0.88921628753974336</v>
      </c>
      <c r="U93" s="286">
        <f t="shared" si="95"/>
        <v>0.88391128398854402</v>
      </c>
      <c r="V93" s="286">
        <f t="shared" si="95"/>
        <v>0.88836120164295862</v>
      </c>
      <c r="W93" s="286">
        <f t="shared" si="95"/>
        <v>0.88923602646664657</v>
      </c>
      <c r="X93" s="286">
        <f t="shared" si="95"/>
        <v>0.8888305089309696</v>
      </c>
      <c r="Y93" s="286">
        <f t="shared" si="95"/>
        <v>0.8891502709666792</v>
      </c>
      <c r="Z93" s="286">
        <f t="shared" si="95"/>
        <v>0.88952666275541148</v>
      </c>
      <c r="AA93" s="286">
        <f t="shared" si="95"/>
        <v>0.89327449047239349</v>
      </c>
      <c r="AB93" s="286">
        <f>AB43/AB84</f>
        <v>0.88929196990450687</v>
      </c>
      <c r="AC93" s="286">
        <f>AC43/AC84</f>
        <v>0.88440687254427697</v>
      </c>
      <c r="AD93" s="286">
        <f>AD43/AD84</f>
        <v>0.78946004860980279</v>
      </c>
    </row>
    <row r="94" spans="1:41">
      <c r="A94" t="s">
        <v>571</v>
      </c>
      <c r="B94" s="282"/>
      <c r="F94" s="408"/>
      <c r="G94" s="408"/>
      <c r="H94" s="408"/>
      <c r="I94" s="408"/>
      <c r="J94" s="408"/>
      <c r="K94" s="407">
        <f>(SUM(K82,K84)*(K46/(K46+'6-y'!J13*1000))/K84)</f>
        <v>1.4993677753336034</v>
      </c>
      <c r="L94" s="407">
        <f>(SUM(L82,L84)*(L46/(L46+'6-y'!K13*1000))/L84)</f>
        <v>1.4702447595137844</v>
      </c>
      <c r="M94" s="407">
        <f>(SUM(M82,M84)*(M46/(M46+'6-y'!L13*1000))/M84)</f>
        <v>1.5036279123877518</v>
      </c>
      <c r="N94" s="407">
        <f>(SUM(N82,N84)*(N46/(N46+'6-y'!M13*1000))/N84)</f>
        <v>1.4767658058418085</v>
      </c>
      <c r="O94" s="407">
        <f>(SUM(O82,O84)*(O46/(O46+'6-y'!N13*1000))/O84)</f>
        <v>1.4489180859576851</v>
      </c>
      <c r="P94" s="407">
        <f>(SUM(P82,P84)*(P46/(P46+'6-y'!O13*1000))/P84)</f>
        <v>1.4847745239508723</v>
      </c>
      <c r="Q94" s="407">
        <f>(SUM(Q82,Q84)*(Q46/(Q46+'6-y'!P13*1000))/Q84)</f>
        <v>1.4312334717220856</v>
      </c>
      <c r="R94" s="407">
        <f>(SUM(R82,R84)*(R46/(R46+'6-y'!Q13*1000))/R84)</f>
        <v>1.4810382277120642</v>
      </c>
      <c r="S94" s="407">
        <f>(SUM(S82,S84)*(S46/(S46+'6-y'!R13*1000))/S84)</f>
        <v>1.3581876232883869</v>
      </c>
      <c r="T94" s="407">
        <f>(SUM(T82,T84)*(T46/(T46+'6-y'!S13*1000))/T84)</f>
        <v>1.3930230547504199</v>
      </c>
      <c r="U94" s="407">
        <f>(SUM(U82,U84)*(U46/(U46+'6-y'!T13*1000))/U84)</f>
        <v>1.368556393273465</v>
      </c>
      <c r="V94" s="407">
        <f>(SUM(V82,V84)*(V46/(V46+'6-y'!U13*1000))/V84)</f>
        <v>1.3780401679535252</v>
      </c>
      <c r="W94" s="407">
        <f>(SUM(W82,W84)*(W46/(W46+'6-y'!V13*1000))/W84)</f>
        <v>1.384720060717366</v>
      </c>
      <c r="X94" s="407">
        <f>(SUM(X82,X84)*(X46/(X46+'6-y'!W13*1000))/X84)</f>
        <v>1.3868584341354357</v>
      </c>
      <c r="Y94" s="407">
        <f>(SUM(Y82,Y84)*(Y46/(Y46+'6-y'!X13*1000))/Y84)</f>
        <v>1.3887454846122462</v>
      </c>
      <c r="Z94" s="407">
        <f>(SUM(Z82,Z84)*(Z46/(Z46+'6-y'!Y13*1000))/Z84)</f>
        <v>1.3814820767933382</v>
      </c>
      <c r="AA94" s="407">
        <f>(SUM(AA82,AA84)*(AA46/(AA46+'6-y'!Z13*1000))/AA84)</f>
        <v>1.384201480986216</v>
      </c>
      <c r="AB94" s="407">
        <f>(SUM(AB82,AB84)*(AB46/(AB46+'6-y'!AA13*1000))/AB84)</f>
        <v>1.3772480499545092</v>
      </c>
      <c r="AC94" s="407">
        <f>(SUM(AC82,AC84)*(AC46/(AC46+'6-y'!AB13*1000))/AC84)</f>
        <v>1.383451885858394</v>
      </c>
      <c r="AD94" s="407">
        <f>(SUM(AD82,AD84)*(AD46/(AD46+'6-y'!AC13*1000))/AD84)</f>
        <v>1.2681676577247851</v>
      </c>
    </row>
    <row r="95" spans="1:41">
      <c r="A95" t="s">
        <v>572</v>
      </c>
      <c r="F95" s="408">
        <f>F54/E54-1</f>
        <v>3.3644859813084071E-2</v>
      </c>
      <c r="G95" s="408">
        <f t="shared" ref="G95:Z95" si="96">G54/F54-1</f>
        <v>-3.3001808318264159E-2</v>
      </c>
      <c r="H95" s="408">
        <f t="shared" si="96"/>
        <v>1.4025245441795287E-2</v>
      </c>
      <c r="I95" s="408">
        <f t="shared" si="96"/>
        <v>-2.0746887966804906E-2</v>
      </c>
      <c r="J95" s="408">
        <f>J56/I56-1</f>
        <v>2.7911373489776903E-2</v>
      </c>
      <c r="K95" s="408">
        <f>K56/J56-1</f>
        <v>-5.9796246875187697E-2</v>
      </c>
      <c r="L95" s="408">
        <f t="shared" si="96"/>
        <v>-1.0080380301039082E-2</v>
      </c>
      <c r="M95" s="408">
        <f t="shared" si="96"/>
        <v>-1.5786877158362134E-2</v>
      </c>
      <c r="N95" s="408">
        <f t="shared" si="96"/>
        <v>-1.2030075187969946E-2</v>
      </c>
      <c r="O95" s="408">
        <f t="shared" si="96"/>
        <v>2.130898021308969E-2</v>
      </c>
      <c r="P95" s="408">
        <f t="shared" si="96"/>
        <v>-7.9821162444113636E-3</v>
      </c>
      <c r="Q95" s="408">
        <f t="shared" si="96"/>
        <v>-1.9690204774122089E-3</v>
      </c>
      <c r="R95" s="408">
        <f t="shared" si="96"/>
        <v>1.7561465127947873E-2</v>
      </c>
      <c r="S95" s="408">
        <f t="shared" si="96"/>
        <v>2.8106508875739511E-2</v>
      </c>
      <c r="T95" s="408">
        <f t="shared" si="96"/>
        <v>2.2062350119903984E-2</v>
      </c>
      <c r="U95" s="408">
        <f t="shared" si="96"/>
        <v>-3.3389759695697463E-2</v>
      </c>
      <c r="V95" s="408">
        <f t="shared" si="96"/>
        <v>-2.8608566742403418E-2</v>
      </c>
      <c r="W95" s="408">
        <f t="shared" si="96"/>
        <v>-3.1818192669837098E-2</v>
      </c>
      <c r="X95" s="408">
        <f t="shared" si="96"/>
        <v>8.2130371716526707E-3</v>
      </c>
      <c r="Y95" s="408">
        <f t="shared" si="96"/>
        <v>-3.2210210944665363E-2</v>
      </c>
      <c r="Z95" s="408">
        <f t="shared" si="96"/>
        <v>-4.1193926007703219E-3</v>
      </c>
      <c r="AA95" s="408">
        <f t="shared" ref="AA95:AD96" si="97">AA54/Z54-1</f>
        <v>-3.3920646124393494E-3</v>
      </c>
      <c r="AB95" s="408">
        <f t="shared" si="97"/>
        <v>1.5229705882217948E-2</v>
      </c>
      <c r="AC95" s="408">
        <f t="shared" si="97"/>
        <v>-5.040717595315769E-3</v>
      </c>
      <c r="AD95" s="408">
        <f t="shared" si="97"/>
        <v>0</v>
      </c>
    </row>
    <row r="96" spans="1:41">
      <c r="A96" t="s">
        <v>575</v>
      </c>
      <c r="F96" s="408">
        <f t="shared" ref="F96:Z96" si="98">F55/E55-1</f>
        <v>-2.5238362310712192E-2</v>
      </c>
      <c r="G96" s="408">
        <f t="shared" si="98"/>
        <v>3.4522439585730647E-2</v>
      </c>
      <c r="H96" s="408">
        <f t="shared" si="98"/>
        <v>-2.2803114571746441E-2</v>
      </c>
      <c r="I96" s="408">
        <f t="shared" si="98"/>
        <v>-1.821286283437662E-2</v>
      </c>
      <c r="J96" s="408">
        <f>J57/I57-1</f>
        <v>-9.8952809044383638E-2</v>
      </c>
      <c r="K96" s="408">
        <f>K57/J57-1</f>
        <v>0.10933265792335423</v>
      </c>
      <c r="L96" s="408">
        <f t="shared" si="98"/>
        <v>-1.7724985306974195E-2</v>
      </c>
      <c r="M96" s="408">
        <f t="shared" si="98"/>
        <v>1.4943215780035768E-2</v>
      </c>
      <c r="N96" s="408">
        <f t="shared" si="98"/>
        <v>-1.8256772673733712E-2</v>
      </c>
      <c r="O96" s="408">
        <f t="shared" si="98"/>
        <v>-1.2597480503899305E-2</v>
      </c>
      <c r="P96" s="408">
        <f t="shared" si="98"/>
        <v>1.2543134872418094E-2</v>
      </c>
      <c r="Q96" s="408">
        <f t="shared" si="98"/>
        <v>-1.4187775928421575E-2</v>
      </c>
      <c r="R96" s="408">
        <f t="shared" si="98"/>
        <v>1.2781497261107777E-2</v>
      </c>
      <c r="S96" s="419">
        <f t="shared" si="98"/>
        <v>-6.1899038461538436E-2</v>
      </c>
      <c r="T96" s="408">
        <f t="shared" si="98"/>
        <v>2.3702754644458812E-2</v>
      </c>
      <c r="U96" s="408">
        <f t="shared" si="98"/>
        <v>-2.8201288321015539E-2</v>
      </c>
      <c r="V96" s="408">
        <f t="shared" si="98"/>
        <v>-4.2834893061957091E-3</v>
      </c>
      <c r="W96" s="408">
        <f t="shared" si="98"/>
        <v>-6.5153170965281948E-4</v>
      </c>
      <c r="X96" s="408">
        <f t="shared" si="98"/>
        <v>5.8376226495060468E-3</v>
      </c>
      <c r="Y96" s="408">
        <f t="shared" si="98"/>
        <v>-1.0864345507699547E-4</v>
      </c>
      <c r="Z96" s="408">
        <f t="shared" si="98"/>
        <v>-6.845490731498538E-4</v>
      </c>
      <c r="AA96" s="408">
        <f t="shared" si="97"/>
        <v>-6.8775289855165234E-3</v>
      </c>
      <c r="AB96" s="408">
        <f t="shared" si="97"/>
        <v>-9.5136550570611433E-3</v>
      </c>
      <c r="AC96" s="408">
        <f t="shared" si="97"/>
        <v>9.316338776664157E-3</v>
      </c>
      <c r="AD96" s="408">
        <f t="shared" si="97"/>
        <v>0</v>
      </c>
    </row>
    <row r="97" spans="1:41">
      <c r="A97" t="s">
        <v>578</v>
      </c>
      <c r="X97" s="388"/>
      <c r="Y97" s="388"/>
      <c r="Z97" s="388"/>
      <c r="AA97" s="388"/>
      <c r="AB97" s="388"/>
      <c r="AC97" s="388"/>
      <c r="AD97" s="388"/>
    </row>
    <row r="98" spans="1:41">
      <c r="A98" t="s">
        <v>577</v>
      </c>
      <c r="K98" s="177">
        <f>'6-x'!P927</f>
        <v>16082.700285999998</v>
      </c>
      <c r="P98" s="177">
        <f>'6-x'!P844</f>
        <v>18577.766493060095</v>
      </c>
      <c r="U98" s="177">
        <f>'6-x'!P760</f>
        <v>14888.680118467564</v>
      </c>
      <c r="V98" s="177">
        <f>'6-x'!P675</f>
        <v>16255.576133467088</v>
      </c>
      <c r="W98" s="177">
        <f>'6-x'!P590</f>
        <v>17017.822170679276</v>
      </c>
      <c r="X98" s="453">
        <f>'6-x'!P502</f>
        <v>16307.777706840547</v>
      </c>
      <c r="Y98" s="453">
        <f>'6-x'!P410</f>
        <v>16669.686949937895</v>
      </c>
      <c r="Z98" s="453">
        <f>'6-x'!P318</f>
        <v>15600.905129932169</v>
      </c>
      <c r="AA98" s="453">
        <f>'6-x'!P226</f>
        <v>15668.931976927488</v>
      </c>
      <c r="AB98" s="453">
        <f>'6-x'!P134</f>
        <v>16108.382108531574</v>
      </c>
      <c r="AC98" s="453">
        <f>'6-x'!P42</f>
        <v>14849.566683863573</v>
      </c>
      <c r="AD98" s="797">
        <f>'6-x'!Q42</f>
        <v>0</v>
      </c>
    </row>
    <row r="99" spans="1:41">
      <c r="K99" s="177">
        <f>'6-x'!P928</f>
        <v>32256.689559999992</v>
      </c>
      <c r="P99" s="177">
        <f>'6-x'!P845</f>
        <v>23764.132703118368</v>
      </c>
      <c r="U99" s="177">
        <f>'6-x'!P761</f>
        <v>19688.820441688164</v>
      </c>
      <c r="V99" s="177">
        <f>'6-x'!P676</f>
        <v>18722.018514426287</v>
      </c>
      <c r="W99" s="177">
        <f>'6-x'!P591</f>
        <v>19119.779453162319</v>
      </c>
      <c r="X99" s="453">
        <f>'6-x'!P503</f>
        <v>17032.840165997899</v>
      </c>
      <c r="Y99" s="453">
        <f>'6-x'!P411</f>
        <v>16600.785035110344</v>
      </c>
      <c r="Z99" s="453">
        <f>'6-x'!P319</f>
        <v>15126.067773000857</v>
      </c>
      <c r="AA99" s="453">
        <f>'6-x'!P227</f>
        <v>16423.755242189738</v>
      </c>
      <c r="AB99" s="453">
        <f>'6-x'!P135</f>
        <v>17727.249285373076</v>
      </c>
      <c r="AC99" s="453">
        <f>'6-x'!P43</f>
        <v>12444.772713528231</v>
      </c>
      <c r="AD99" s="797">
        <f>'6-x'!Q43</f>
        <v>0</v>
      </c>
    </row>
    <row r="100" spans="1:41">
      <c r="K100" s="177">
        <f>'6-x'!P929</f>
        <v>5122.8997140000047</v>
      </c>
      <c r="P100" s="177">
        <f>'6-x'!P846</f>
        <v>5421.033506939908</v>
      </c>
      <c r="U100" s="177">
        <f>'6-x'!P762</f>
        <v>5765.6198815324315</v>
      </c>
      <c r="V100" s="177">
        <f>'6-x'!P677</f>
        <v>5908.6238665329092</v>
      </c>
      <c r="W100" s="177">
        <f>'6-x'!P592</f>
        <v>5906.0778293207259</v>
      </c>
      <c r="X100" s="453">
        <f>'6-x'!P504</f>
        <v>5767.6922931594545</v>
      </c>
      <c r="Y100" s="453">
        <f>'6-x'!P412</f>
        <v>5826.0130500621053</v>
      </c>
      <c r="Z100" s="453">
        <f>'6-x'!P320</f>
        <v>5731.9248700678327</v>
      </c>
      <c r="AA100" s="453">
        <f>'6-x'!P228</f>
        <v>5552.2580230725143</v>
      </c>
      <c r="AB100" s="453">
        <f>'6-x'!P136</f>
        <v>5480.0278914684259</v>
      </c>
      <c r="AC100" s="453">
        <f>'6-x'!P44</f>
        <v>4945.4133161364261</v>
      </c>
      <c r="AD100" s="797">
        <f>'6-x'!Q44</f>
        <v>0</v>
      </c>
    </row>
    <row r="101" spans="1:41">
      <c r="K101" s="198">
        <f>K82-K98</f>
        <v>2.4843000028340612E-3</v>
      </c>
      <c r="P101" s="198">
        <f>P82-P98</f>
        <v>3.1397399070556276E-3</v>
      </c>
      <c r="U101" s="198">
        <f t="shared" ref="U101:AA101" si="99">U82-U98</f>
        <v>2.3167454855865799E-4</v>
      </c>
      <c r="V101" s="198">
        <f t="shared" si="99"/>
        <v>-4.4550969705596799E-3</v>
      </c>
      <c r="W101" s="198">
        <f t="shared" si="99"/>
        <v>-3.1711641313449945E-3</v>
      </c>
      <c r="X101" s="245">
        <f t="shared" si="99"/>
        <v>9.8494076701172162E-4</v>
      </c>
      <c r="Y101" s="245">
        <f t="shared" si="99"/>
        <v>1.2160695587226655E-3</v>
      </c>
      <c r="Z101" s="245">
        <f t="shared" si="99"/>
        <v>0</v>
      </c>
      <c r="AA101" s="245">
        <f t="shared" si="99"/>
        <v>0</v>
      </c>
      <c r="AB101" s="245">
        <f t="shared" ref="AB101:AC103" si="100">AB82-AB98</f>
        <v>0</v>
      </c>
      <c r="AC101" s="245">
        <f t="shared" si="100"/>
        <v>0</v>
      </c>
      <c r="AD101" s="798">
        <f t="shared" ref="AD101" si="101">AD82-AD98</f>
        <v>13931.382633072377</v>
      </c>
    </row>
    <row r="102" spans="1:41">
      <c r="K102" s="198">
        <f>K83-K99</f>
        <v>3.8771000072301831E-3</v>
      </c>
      <c r="P102" s="198">
        <f>P83-P99</f>
        <v>-2.8848783731518779E-3</v>
      </c>
      <c r="U102" s="198">
        <f t="shared" ref="U102:W103" si="102">U83-U99</f>
        <v>-4.999261971533997E-3</v>
      </c>
      <c r="V102" s="198">
        <f t="shared" si="102"/>
        <v>3.1720168190076947E-3</v>
      </c>
      <c r="W102" s="198">
        <f t="shared" si="102"/>
        <v>2.7057418556069024E-3</v>
      </c>
      <c r="X102" s="245">
        <f t="shared" ref="X102:Z103" si="103">X83-X99</f>
        <v>4.8170440422836691E-3</v>
      </c>
      <c r="Y102" s="245">
        <f t="shared" si="103"/>
        <v>1.6941817739279941E-4</v>
      </c>
      <c r="Z102" s="245">
        <f>Z83-Z99</f>
        <v>0</v>
      </c>
      <c r="AA102" s="245">
        <f>AA83-AA99</f>
        <v>0</v>
      </c>
      <c r="AB102" s="245">
        <f t="shared" si="100"/>
        <v>0</v>
      </c>
      <c r="AC102" s="245">
        <f t="shared" si="100"/>
        <v>0</v>
      </c>
      <c r="AD102" s="798">
        <f t="shared" ref="AD102" si="104">AD83-AD99</f>
        <v>11675.282797455469</v>
      </c>
    </row>
    <row r="103" spans="1:41">
      <c r="K103" s="198">
        <f>K84-K100</f>
        <v>-2.48430000647204E-3</v>
      </c>
      <c r="P103" s="198">
        <f>P84-P100</f>
        <v>-3.1397399106936064E-3</v>
      </c>
      <c r="U103" s="198">
        <f t="shared" si="102"/>
        <v>-2.3167454492067918E-4</v>
      </c>
      <c r="V103" s="198">
        <f t="shared" si="102"/>
        <v>4.4550969741976587E-3</v>
      </c>
      <c r="W103" s="198">
        <f t="shared" si="102"/>
        <v>3.1711641313449945E-3</v>
      </c>
      <c r="X103" s="245">
        <f t="shared" si="103"/>
        <v>-9.8494076701172162E-4</v>
      </c>
      <c r="Y103" s="245">
        <f t="shared" si="103"/>
        <v>-1.2160695587226655E-3</v>
      </c>
      <c r="Z103" s="245">
        <f t="shared" si="103"/>
        <v>0</v>
      </c>
      <c r="AA103" s="245">
        <f>AA84-AA100</f>
        <v>0</v>
      </c>
      <c r="AB103" s="245">
        <f t="shared" si="100"/>
        <v>0</v>
      </c>
      <c r="AC103" s="245">
        <f t="shared" si="100"/>
        <v>0</v>
      </c>
      <c r="AD103" s="798">
        <f t="shared" ref="AD103" si="105">AD84-AD100</f>
        <v>5414.4942687012572</v>
      </c>
    </row>
    <row r="104" spans="1:41">
      <c r="X104" s="388"/>
      <c r="Y104" s="388"/>
      <c r="Z104" s="388"/>
      <c r="AA104" s="388"/>
      <c r="AB104" s="388"/>
      <c r="AC104" s="388"/>
      <c r="AD104" s="388"/>
    </row>
    <row r="105" spans="1:41">
      <c r="A105" s="68" t="str">
        <f>"Rend el.  - "&amp;C92</f>
        <v>Rend el.  - elc/fuel tot</v>
      </c>
      <c r="B105" s="68"/>
      <c r="C105" s="68" t="s">
        <v>565</v>
      </c>
      <c r="D105" s="68"/>
      <c r="E105" s="68"/>
      <c r="F105" s="68"/>
      <c r="G105" s="68"/>
      <c r="H105" s="68"/>
      <c r="I105" s="68"/>
      <c r="J105" s="68"/>
      <c r="K105" s="741">
        <f>K62*3.6/((K82+K83+K84)*41.868)</f>
        <v>0.40702275069904564</v>
      </c>
      <c r="L105" s="741">
        <f t="shared" ref="L105:W105" si="106">L62*3.6/((L82+L83+L84)*41.868)</f>
        <v>0.41047048525408614</v>
      </c>
      <c r="M105" s="741">
        <f t="shared" si="106"/>
        <v>0.41496791524857513</v>
      </c>
      <c r="N105" s="741">
        <f t="shared" si="106"/>
        <v>0.41998888298879389</v>
      </c>
      <c r="O105" s="741">
        <f t="shared" si="106"/>
        <v>0.41679473353926416</v>
      </c>
      <c r="P105" s="743">
        <f>P62*3.6/((P82+P83+P84)*41.868)</f>
        <v>0.41630068344651383</v>
      </c>
      <c r="Q105" s="741">
        <f t="shared" si="106"/>
        <v>0.41217846699785465</v>
      </c>
      <c r="R105" s="741">
        <f t="shared" si="106"/>
        <v>0.40964893699794647</v>
      </c>
      <c r="S105" s="743">
        <f t="shared" si="106"/>
        <v>0.4037577639024072</v>
      </c>
      <c r="T105" s="741">
        <f t="shared" si="106"/>
        <v>0.39550333431500373</v>
      </c>
      <c r="U105" s="743">
        <f t="shared" si="106"/>
        <v>0.40932931845523768</v>
      </c>
      <c r="V105" s="741">
        <f t="shared" si="106"/>
        <v>0.41940434400834975</v>
      </c>
      <c r="W105" s="741">
        <f t="shared" si="106"/>
        <v>0.42842166174604429</v>
      </c>
      <c r="X105" s="744">
        <f t="shared" ref="X105:AC105" si="107">X62*3.6/((X82+X83+X84)*41.868)</f>
        <v>0.42374105813381252</v>
      </c>
      <c r="Y105" s="742">
        <f t="shared" si="107"/>
        <v>0.43047565006585176</v>
      </c>
      <c r="Z105" s="744">
        <f t="shared" si="107"/>
        <v>0.42759274687991955</v>
      </c>
      <c r="AA105" s="742">
        <f t="shared" si="107"/>
        <v>0.43331764241954573</v>
      </c>
      <c r="AB105" s="744">
        <f t="shared" si="107"/>
        <v>0.43569577498609607</v>
      </c>
      <c r="AC105" s="744">
        <f t="shared" si="107"/>
        <v>0.43362702056282326</v>
      </c>
      <c r="AD105" s="744">
        <f t="shared" ref="AD105" si="108">AD62*3.6/((AD82+AD83+AD84)*41.868)</f>
        <v>0.42302920207838601</v>
      </c>
      <c r="AE105" s="745">
        <v>0.43403750080266679</v>
      </c>
      <c r="AF105" s="745">
        <v>0.43987326880343719</v>
      </c>
      <c r="AG105" s="745">
        <v>0.43835938233276989</v>
      </c>
      <c r="AH105" s="745">
        <v>0.42837225834561127</v>
      </c>
      <c r="AI105" s="745">
        <v>0.43688638906970484</v>
      </c>
      <c r="AJ105" s="745">
        <v>0.43190317682934448</v>
      </c>
      <c r="AK105" s="745">
        <v>0.43504123577174636</v>
      </c>
      <c r="AL105" s="745">
        <v>0.43063545183958996</v>
      </c>
      <c r="AM105" s="745">
        <v>0.4438761830745756</v>
      </c>
      <c r="AN105" s="745">
        <v>0.48105462833984464</v>
      </c>
      <c r="AO105" s="745">
        <v>0.53661033136680758</v>
      </c>
    </row>
    <row r="106" spans="1:41">
      <c r="A106" t="str">
        <f>"Rend el. CHP"&amp; " - "&amp;C106</f>
        <v>Rend el. CHP - elc/fuel tot</v>
      </c>
      <c r="C106" t="s">
        <v>565</v>
      </c>
      <c r="K106" s="740">
        <f>(('6-y'!J13)*3.6)/((K82+K84)*41.868)*1000</f>
        <v>0.38288284854491461</v>
      </c>
      <c r="L106" s="740">
        <f>(('6-y'!K13)*3.6)/((L82+L84)*41.868)*1000</f>
        <v>0.38691379399241171</v>
      </c>
      <c r="M106" s="740">
        <f>(('6-y'!L13)*3.6)/((M82+M84)*41.868)*1000</f>
        <v>0.39009239020376812</v>
      </c>
      <c r="N106" s="740">
        <f>(('6-y'!M13)*3.6)/((N82+N84)*41.868)*1000</f>
        <v>0.39401147817256377</v>
      </c>
      <c r="O106" s="740">
        <f>(('6-y'!N13)*3.6)/((O82+O84)*41.868)*1000</f>
        <v>0.40219371853925423</v>
      </c>
      <c r="P106" s="740">
        <f>(('6-y'!O13)*3.6)/((P82+P84)*41.868)*1000</f>
        <v>0.39937508483334744</v>
      </c>
      <c r="Q106" s="740">
        <f>(('6-y'!P13)*3.6)/((Q82+Q84)*41.868)*1000</f>
        <v>0.3875628078420838</v>
      </c>
      <c r="R106" s="740">
        <f>(('6-y'!Q13)*3.6)/((R82+R84)*41.868)*1000</f>
        <v>0.3915064590346492</v>
      </c>
      <c r="S106" s="740">
        <f>(('6-y'!R13)*3.6)/((S82+S84)*41.868)*1000</f>
        <v>0.39146488338840868</v>
      </c>
      <c r="T106" s="740">
        <f>(('6-y'!S13)*3.6)/((T82+T84)*41.868)*1000</f>
        <v>0.38444109994724096</v>
      </c>
      <c r="U106" s="740">
        <f>(('6-y'!T13)*3.6)/((U82+U84)*41.868)*1000</f>
        <v>0.39912866230453847</v>
      </c>
      <c r="V106" s="740">
        <f>(('6-y'!U13)*3.6)/((V82+V84)*41.868)*1000</f>
        <v>0.40783234811130548</v>
      </c>
      <c r="W106" s="740">
        <f>(('6-y'!V13)*3.6)/((W82+W84)*41.868)*1000</f>
        <v>0.41307596542550395</v>
      </c>
      <c r="X106" s="740">
        <f>(('6-y'!W13)*3.6)/((X82+X84)*41.868)*1000</f>
        <v>0.40866882199393367</v>
      </c>
      <c r="Y106" s="740">
        <f>(('6-y'!X13)*3.6)/((Y82+Y84)*41.868)*1000</f>
        <v>0.40997918276087014</v>
      </c>
      <c r="Z106" s="740">
        <f>(('6-y'!Y13)*3.6)/((Z82+Z84)*41.868)*1000</f>
        <v>0.40488581567239196</v>
      </c>
      <c r="AA106" s="740">
        <f>(('6-y'!Z13)*3.6)/((AA82+AA84)*41.868)*1000</f>
        <v>0.41162153876390545</v>
      </c>
      <c r="AB106" s="740">
        <f>(('6-y'!AA13)*3.6)/((AB82+AB84)*41.868)*1000</f>
        <v>0.41996316816890733</v>
      </c>
      <c r="AC106" s="740">
        <f>(('6-y'!AB13)*3.6)/((AC82+AC84)*41.868)*1000</f>
        <v>0.41832261897623979</v>
      </c>
      <c r="AD106" s="740">
        <f>(('6-y'!AC13)*3.6)/((AD82+AD84)*41.868)*1000</f>
        <v>0.40156738698286654</v>
      </c>
      <c r="AE106" s="747">
        <v>0.43790881643552609</v>
      </c>
      <c r="AF106" s="747">
        <v>0.42538256748298042</v>
      </c>
      <c r="AG106" s="747">
        <v>0.42948086251049999</v>
      </c>
      <c r="AH106" s="747">
        <v>0.44147089273726076</v>
      </c>
      <c r="AI106" s="747">
        <v>0.44582655340607064</v>
      </c>
      <c r="AJ106" s="747">
        <v>0.40512108091811938</v>
      </c>
      <c r="AK106" s="747">
        <v>0.3932261198751133</v>
      </c>
      <c r="AL106" s="747">
        <v>0.41480278937617088</v>
      </c>
      <c r="AM106" s="747">
        <v>0.40452754752704673</v>
      </c>
      <c r="AN106" s="747">
        <v>0.39449624050102877</v>
      </c>
      <c r="AO106" s="747">
        <v>0.38534670322182979</v>
      </c>
    </row>
    <row r="107" spans="1:41">
      <c r="X107" s="388"/>
      <c r="Y107" s="388"/>
      <c r="Z107" s="388"/>
      <c r="AA107" s="388"/>
      <c r="AB107" s="388"/>
      <c r="AC107" s="388"/>
      <c r="AD107" s="388"/>
    </row>
    <row r="108" spans="1:41">
      <c r="L108" s="68">
        <f>L87</f>
        <v>2006</v>
      </c>
      <c r="M108" s="68">
        <f t="shared" ref="M108:AB108" si="109">M87</f>
        <v>2007</v>
      </c>
      <c r="N108" s="68">
        <f t="shared" si="109"/>
        <v>2008</v>
      </c>
      <c r="O108" s="68">
        <f t="shared" si="109"/>
        <v>2009</v>
      </c>
      <c r="P108" s="68">
        <f t="shared" si="109"/>
        <v>2010</v>
      </c>
      <c r="Q108" s="68">
        <f t="shared" si="109"/>
        <v>2011</v>
      </c>
      <c r="R108" s="68">
        <f t="shared" si="109"/>
        <v>2012</v>
      </c>
      <c r="S108" s="68">
        <f t="shared" si="109"/>
        <v>2013</v>
      </c>
      <c r="T108" s="68">
        <f t="shared" si="109"/>
        <v>2014</v>
      </c>
      <c r="U108" s="68">
        <f t="shared" si="109"/>
        <v>2015</v>
      </c>
      <c r="V108" s="68">
        <f t="shared" si="109"/>
        <v>2016</v>
      </c>
      <c r="W108" s="68">
        <f t="shared" si="109"/>
        <v>2017</v>
      </c>
      <c r="X108" s="68">
        <f t="shared" si="109"/>
        <v>2018</v>
      </c>
      <c r="Y108" s="68">
        <f t="shared" si="109"/>
        <v>2019</v>
      </c>
      <c r="Z108" s="68">
        <f t="shared" si="109"/>
        <v>2020</v>
      </c>
      <c r="AA108" s="68">
        <f t="shared" si="109"/>
        <v>2021</v>
      </c>
      <c r="AB108" s="68">
        <f t="shared" si="109"/>
        <v>2022</v>
      </c>
      <c r="AC108" s="68">
        <f t="shared" ref="AC108" si="110">AC87</f>
        <v>2023</v>
      </c>
      <c r="AD108" s="68"/>
    </row>
    <row r="109" spans="1:41">
      <c r="A109" s="68" t="str">
        <f t="shared" ref="A109:C115" si="111">G109</f>
        <v>Rend tot - elc+heat/fuel tot</v>
      </c>
      <c r="B109" s="68"/>
      <c r="C109" s="68" t="str">
        <f t="shared" si="111"/>
        <v>elc+heat/fuel tot</v>
      </c>
      <c r="G109" s="68" t="str">
        <f>A88</f>
        <v>Rend tot - elc+heat/fuel tot</v>
      </c>
      <c r="H109" s="68"/>
      <c r="I109" s="68" t="str">
        <f>C88</f>
        <v>elc+heat/fuel tot</v>
      </c>
      <c r="J109" t="s">
        <v>574</v>
      </c>
      <c r="K109" t="str">
        <f>A88</f>
        <v>Rend tot - elc+heat/fuel tot</v>
      </c>
      <c r="L109" s="56">
        <f>L88/K88-1</f>
        <v>1.6316689901605619E-2</v>
      </c>
      <c r="M109" s="56">
        <f t="shared" ref="M109:AC113" si="112">M88/L88-1</f>
        <v>4.5927067426290158E-3</v>
      </c>
      <c r="N109" s="56">
        <f t="shared" si="112"/>
        <v>9.7731925430009081E-3</v>
      </c>
      <c r="O109" s="56">
        <f t="shared" si="112"/>
        <v>1.2127494995541888E-3</v>
      </c>
      <c r="P109" s="56">
        <f t="shared" si="112"/>
        <v>1.6502195777514439E-2</v>
      </c>
      <c r="Q109" s="56">
        <f t="shared" si="112"/>
        <v>5.3189873150325528E-3</v>
      </c>
      <c r="R109" s="56">
        <f t="shared" si="112"/>
        <v>-8.396107454387236E-3</v>
      </c>
      <c r="S109" s="56">
        <f t="shared" si="112"/>
        <v>2.2173075693435296E-2</v>
      </c>
      <c r="T109" s="56">
        <f t="shared" si="112"/>
        <v>-1.0693467227330777E-2</v>
      </c>
      <c r="U109" s="56">
        <f t="shared" si="112"/>
        <v>2.6642620849110621E-2</v>
      </c>
      <c r="V109" s="56">
        <f t="shared" si="112"/>
        <v>2.26485617489669E-2</v>
      </c>
      <c r="W109" s="56">
        <f t="shared" si="112"/>
        <v>1.0135501193172525E-2</v>
      </c>
      <c r="X109" s="56">
        <f t="shared" si="112"/>
        <v>2.6904621960994746E-3</v>
      </c>
      <c r="Y109" s="56">
        <f t="shared" si="112"/>
        <v>1.4685297038409706E-2</v>
      </c>
      <c r="Z109" s="56">
        <f t="shared" si="112"/>
        <v>7.934911410891754E-3</v>
      </c>
      <c r="AA109" s="56">
        <f t="shared" si="112"/>
        <v>-4.1833840501646069E-3</v>
      </c>
      <c r="AB109" s="56">
        <f t="shared" si="112"/>
        <v>-9.5860302901144001E-3</v>
      </c>
      <c r="AC109" s="56">
        <f t="shared" si="112"/>
        <v>1.7225846424217206E-2</v>
      </c>
      <c r="AD109" s="56"/>
    </row>
    <row r="110" spans="1:41">
      <c r="A110" s="68" t="str">
        <f t="shared" si="111"/>
        <v>Rend el. eq. - elc/fuel elc</v>
      </c>
      <c r="B110" s="68"/>
      <c r="C110" s="68" t="str">
        <f t="shared" si="111"/>
        <v>elc/fuel elc</v>
      </c>
      <c r="G110" s="68" t="str">
        <f>A89</f>
        <v>Rend el. eq. - elc/fuel elc</v>
      </c>
      <c r="H110" s="68"/>
      <c r="I110" s="68" t="str">
        <f>C89</f>
        <v>elc/fuel elc</v>
      </c>
      <c r="J110" t="str">
        <f t="shared" ref="J110:J115" si="113">J109</f>
        <v>variazione annuale</v>
      </c>
      <c r="K110" t="str">
        <f>A89</f>
        <v>Rend el. eq. - elc/fuel elc</v>
      </c>
      <c r="L110" s="56">
        <f>L89/K89-1</f>
        <v>1.5034538952576559E-2</v>
      </c>
      <c r="M110" s="56">
        <f t="shared" ref="M110:AA110" si="114">M89/L89-1</f>
        <v>7.9123676560213241E-3</v>
      </c>
      <c r="N110" s="56">
        <f t="shared" si="114"/>
        <v>1.2293010350254319E-2</v>
      </c>
      <c r="O110" s="56">
        <f t="shared" si="114"/>
        <v>-3.498502773220391E-4</v>
      </c>
      <c r="P110" s="56">
        <f t="shared" si="114"/>
        <v>7.6386776966985703E-3</v>
      </c>
      <c r="Q110" s="56">
        <f t="shared" si="114"/>
        <v>3.295726518519615E-4</v>
      </c>
      <c r="R110" s="56">
        <f t="shared" si="114"/>
        <v>-1.1808038679595012E-2</v>
      </c>
      <c r="S110" s="56">
        <f t="shared" si="114"/>
        <v>1.2736579448124452E-2</v>
      </c>
      <c r="T110" s="56">
        <f t="shared" si="114"/>
        <v>-1.9510505366202469E-2</v>
      </c>
      <c r="U110" s="56">
        <f t="shared" si="114"/>
        <v>3.6089173569483934E-2</v>
      </c>
      <c r="V110" s="56">
        <f t="shared" si="114"/>
        <v>2.6529018480662137E-2</v>
      </c>
      <c r="W110" s="56">
        <f t="shared" si="114"/>
        <v>1.6700100150668584E-2</v>
      </c>
      <c r="X110" s="56">
        <f t="shared" si="114"/>
        <v>-2.7981252615252306E-3</v>
      </c>
      <c r="Y110" s="56">
        <f t="shared" si="114"/>
        <v>1.7727230562033069E-2</v>
      </c>
      <c r="Z110" s="56">
        <f t="shared" si="114"/>
        <v>2.9672702036549481E-3</v>
      </c>
      <c r="AA110" s="56">
        <f t="shared" si="114"/>
        <v>1.8273196297986516E-3</v>
      </c>
      <c r="AB110" s="56">
        <f t="shared" si="112"/>
        <v>-3.9808963506119399E-3</v>
      </c>
      <c r="AC110" s="56">
        <f t="shared" si="112"/>
        <v>1.1721140133193364E-2</v>
      </c>
      <c r="AD110" s="56"/>
    </row>
    <row r="111" spans="1:41">
      <c r="A111" s="195" t="str">
        <f t="shared" si="111"/>
        <v>Rend totale CHP - elc+heat/fuel tot</v>
      </c>
      <c r="B111" s="195"/>
      <c r="C111" s="195" t="str">
        <f t="shared" si="111"/>
        <v>elc+heat/fuel tot</v>
      </c>
      <c r="G111" s="195" t="str">
        <f>A90</f>
        <v>Rend totale CHP - elc+heat/fuel tot</v>
      </c>
      <c r="H111" s="195"/>
      <c r="I111" s="195" t="str">
        <f>C90</f>
        <v>elc+heat/fuel tot</v>
      </c>
      <c r="J111" t="str">
        <f t="shared" si="113"/>
        <v>variazione annuale</v>
      </c>
      <c r="K111" t="str">
        <f>A90</f>
        <v>Rend totale CHP - elc+heat/fuel tot</v>
      </c>
      <c r="L111" s="56">
        <f>L90/K90-1</f>
        <v>1.2429101576957979E-2</v>
      </c>
      <c r="M111" s="56">
        <f t="shared" si="112"/>
        <v>-1.966137356961517E-2</v>
      </c>
      <c r="N111" s="56">
        <f t="shared" si="112"/>
        <v>1.5287838355035221E-2</v>
      </c>
      <c r="O111" s="56">
        <f t="shared" si="112"/>
        <v>-2.7032324051442513E-3</v>
      </c>
      <c r="P111" s="56">
        <f t="shared" si="112"/>
        <v>-3.9855261507717454E-3</v>
      </c>
      <c r="Q111" s="56">
        <f t="shared" si="112"/>
        <v>2.5883210041366844E-2</v>
      </c>
      <c r="R111" s="56">
        <f t="shared" si="112"/>
        <v>-9.3642817024591762E-3</v>
      </c>
      <c r="S111" s="56">
        <f t="shared" si="112"/>
        <v>5.5940529467150002E-2</v>
      </c>
      <c r="T111" s="56">
        <f t="shared" si="112"/>
        <v>-1.0120623597478007E-2</v>
      </c>
      <c r="U111" s="56">
        <f t="shared" si="112"/>
        <v>1.1805126402653077E-2</v>
      </c>
      <c r="V111" s="56">
        <f t="shared" si="112"/>
        <v>-1.8823722218762606E-3</v>
      </c>
      <c r="W111" s="56">
        <f t="shared" si="112"/>
        <v>-3.8439902719991093E-3</v>
      </c>
      <c r="X111" s="56">
        <f t="shared" si="112"/>
        <v>-1.9972089731430387E-3</v>
      </c>
      <c r="Y111" s="56">
        <f t="shared" si="112"/>
        <v>-9.9954956689130015E-4</v>
      </c>
      <c r="Z111" s="56">
        <f t="shared" si="112"/>
        <v>5.6832343531159069E-3</v>
      </c>
      <c r="AA111" s="56">
        <f t="shared" si="112"/>
        <v>2.2404043289931952E-3</v>
      </c>
      <c r="AB111" s="56">
        <f t="shared" si="112"/>
        <v>5.6793798168386367E-4</v>
      </c>
      <c r="AC111" s="56">
        <f t="shared" si="112"/>
        <v>-9.9529264332735012E-3</v>
      </c>
      <c r="AD111" s="56"/>
    </row>
    <row r="112" spans="1:41">
      <c r="A112" s="195" t="str">
        <f t="shared" si="111"/>
        <v>Rend el. eq. CHP - elc/fuel elc</v>
      </c>
      <c r="B112" s="195"/>
      <c r="C112" s="195" t="str">
        <f t="shared" si="111"/>
        <v>elc/fuel elc</v>
      </c>
      <c r="G112" s="195" t="str">
        <f>A91</f>
        <v>Rend el. eq. CHP - elc/fuel elc</v>
      </c>
      <c r="H112" s="195"/>
      <c r="I112" s="195" t="str">
        <f>C91</f>
        <v>elc/fuel elc</v>
      </c>
      <c r="J112" t="str">
        <f t="shared" si="113"/>
        <v>variazione annuale</v>
      </c>
      <c r="K112" t="str">
        <f>A91</f>
        <v>Rend el. eq. CHP - elc/fuel elc</v>
      </c>
      <c r="L112" s="56">
        <f>L91/K91-1</f>
        <v>1.804482964734011E-2</v>
      </c>
      <c r="M112" s="56">
        <f t="shared" si="112"/>
        <v>-1.4723203769139825E-2</v>
      </c>
      <c r="N112" s="56">
        <f t="shared" si="112"/>
        <v>1.8596280743851112E-2</v>
      </c>
      <c r="O112" s="56">
        <f t="shared" si="112"/>
        <v>1.2758201701093652E-2</v>
      </c>
      <c r="P112" s="56">
        <f t="shared" si="112"/>
        <v>-1.2387753608145036E-2</v>
      </c>
      <c r="Q112" s="56">
        <f t="shared" si="112"/>
        <v>1.4391965916007221E-2</v>
      </c>
      <c r="R112" s="56">
        <f t="shared" si="112"/>
        <v>-1.2620192307691847E-2</v>
      </c>
      <c r="S112" s="56">
        <f t="shared" si="112"/>
        <v>6.5983344010249745E-2</v>
      </c>
      <c r="T112" s="56">
        <f t="shared" si="112"/>
        <v>-2.3153942428035257E-2</v>
      </c>
      <c r="U112" s="56">
        <f t="shared" si="112"/>
        <v>2.9019680703519235E-2</v>
      </c>
      <c r="V112" s="56">
        <f t="shared" si="112"/>
        <v>4.3019165196034326E-3</v>
      </c>
      <c r="W112" s="56">
        <f t="shared" si="112"/>
        <v>6.5195647997295936E-4</v>
      </c>
      <c r="X112" s="56">
        <f t="shared" si="112"/>
        <v>-5.8037425903086914E-3</v>
      </c>
      <c r="Y112" s="56">
        <f t="shared" si="112"/>
        <v>1.0865525975956025E-4</v>
      </c>
      <c r="Z112" s="56">
        <f t="shared" si="112"/>
        <v>6.8501800158826676E-4</v>
      </c>
      <c r="AA112" s="56">
        <f t="shared" si="112"/>
        <v>6.9251569531911805E-3</v>
      </c>
      <c r="AB112" s="56">
        <f t="shared" si="112"/>
        <v>9.605034037706961E-3</v>
      </c>
      <c r="AC112" s="56">
        <f t="shared" si="112"/>
        <v>-9.2303457486438978E-3</v>
      </c>
      <c r="AD112" s="56"/>
    </row>
    <row r="113" spans="1:30">
      <c r="A113" t="str">
        <f t="shared" si="111"/>
        <v>Rend el. no CHP - elc/fuel tot</v>
      </c>
      <c r="C113" t="str">
        <f t="shared" si="111"/>
        <v>elc/fuel tot</v>
      </c>
      <c r="G113" t="str">
        <f>A92</f>
        <v>Rend el. no CHP - elc/fuel tot</v>
      </c>
      <c r="I113" t="str">
        <f>C92</f>
        <v>elc/fuel tot</v>
      </c>
      <c r="J113" t="str">
        <f t="shared" si="113"/>
        <v>variazione annuale</v>
      </c>
      <c r="K113" t="str">
        <f>A92</f>
        <v>Rend el. no CHP - elc/fuel tot</v>
      </c>
      <c r="L113" s="56">
        <f>L92/K92-1</f>
        <v>1.0183029107054598E-2</v>
      </c>
      <c r="M113" s="56">
        <f t="shared" si="112"/>
        <v>1.6040100250626743E-2</v>
      </c>
      <c r="N113" s="56">
        <f t="shared" si="112"/>
        <v>1.2176560121765378E-2</v>
      </c>
      <c r="O113" s="56">
        <f t="shared" si="112"/>
        <v>-2.0864381520119157E-2</v>
      </c>
      <c r="P113" s="56">
        <f t="shared" si="112"/>
        <v>8.0463430903008337E-3</v>
      </c>
      <c r="Q113" s="56">
        <f t="shared" si="112"/>
        <v>1.9729051680881238E-3</v>
      </c>
      <c r="R113" s="56">
        <f t="shared" si="112"/>
        <v>-1.725838264299806E-2</v>
      </c>
      <c r="S113" s="56">
        <f t="shared" si="112"/>
        <v>-2.7338129496402686E-2</v>
      </c>
      <c r="T113" s="56">
        <f t="shared" si="112"/>
        <v>-2.1586109807601894E-2</v>
      </c>
      <c r="U113" s="56">
        <f t="shared" si="112"/>
        <v>3.4543147075687619E-2</v>
      </c>
      <c r="V113" s="56">
        <f t="shared" si="112"/>
        <v>2.9451121106209177E-2</v>
      </c>
      <c r="W113" s="56">
        <f t="shared" si="112"/>
        <v>3.2863861341888123E-2</v>
      </c>
      <c r="X113" s="56">
        <f t="shared" si="112"/>
        <v>-8.1461326811372858E-3</v>
      </c>
      <c r="Y113" s="56">
        <f t="shared" si="112"/>
        <v>3.3282238879690507E-2</v>
      </c>
      <c r="Z113" s="56">
        <f t="shared" si="112"/>
        <v>4.1364321889230116E-3</v>
      </c>
      <c r="AA113" s="56">
        <f t="shared" si="112"/>
        <v>3.4036098770577894E-3</v>
      </c>
      <c r="AB113" s="56">
        <f t="shared" si="112"/>
        <v>-1.5001241388010178E-2</v>
      </c>
      <c r="AC113" s="56">
        <f t="shared" si="112"/>
        <v>5.0662551568270153E-3</v>
      </c>
      <c r="AD113" s="56"/>
    </row>
    <row r="114" spans="1:30">
      <c r="A114" s="68" t="str">
        <f t="shared" si="111"/>
        <v>Rend el.  - elc/fuel tot</v>
      </c>
      <c r="B114" s="68"/>
      <c r="C114" s="68" t="str">
        <f t="shared" si="111"/>
        <v>elc/fuel tot</v>
      </c>
      <c r="G114" s="68" t="str">
        <f>A105</f>
        <v>Rend el.  - elc/fuel tot</v>
      </c>
      <c r="H114" s="68"/>
      <c r="I114" s="68" t="str">
        <f>C105</f>
        <v>elc/fuel tot</v>
      </c>
      <c r="J114" t="str">
        <f t="shared" si="113"/>
        <v>variazione annuale</v>
      </c>
      <c r="K114" t="str">
        <f>A105</f>
        <v>Rend el.  - elc/fuel tot</v>
      </c>
      <c r="L114" s="56">
        <f>L105/K105-1</f>
        <v>8.4706187777443542E-3</v>
      </c>
      <c r="M114" s="56">
        <f t="shared" ref="M114:AC114" si="115">M105/L105-1</f>
        <v>1.0956768284338558E-2</v>
      </c>
      <c r="N114" s="56">
        <f t="shared" si="115"/>
        <v>1.2099652902589186E-2</v>
      </c>
      <c r="O114" s="56">
        <f t="shared" si="115"/>
        <v>-7.6053190427303186E-3</v>
      </c>
      <c r="P114" s="56">
        <f t="shared" si="115"/>
        <v>-1.1853558910283057E-3</v>
      </c>
      <c r="Q114" s="56">
        <f t="shared" si="115"/>
        <v>-9.9020170097530169E-3</v>
      </c>
      <c r="R114" s="56">
        <f t="shared" si="115"/>
        <v>-6.1369775532726933E-3</v>
      </c>
      <c r="S114" s="56">
        <f t="shared" si="115"/>
        <v>-1.438102864055224E-2</v>
      </c>
      <c r="T114" s="56">
        <f t="shared" si="115"/>
        <v>-2.044401451905864E-2</v>
      </c>
      <c r="U114" s="56">
        <f t="shared" si="115"/>
        <v>3.4957945839268367E-2</v>
      </c>
      <c r="V114" s="56">
        <f t="shared" si="115"/>
        <v>2.4613496025972514E-2</v>
      </c>
      <c r="W114" s="56">
        <f t="shared" si="115"/>
        <v>2.1500296471690827E-2</v>
      </c>
      <c r="X114" s="56">
        <f t="shared" si="115"/>
        <v>-1.0925226313617808E-2</v>
      </c>
      <c r="Y114" s="56">
        <f t="shared" si="115"/>
        <v>1.5893177691344906E-2</v>
      </c>
      <c r="Z114" s="56">
        <f t="shared" si="115"/>
        <v>-6.6970180206271657E-3</v>
      </c>
      <c r="AA114" s="56">
        <f t="shared" si="115"/>
        <v>1.338866381948689E-2</v>
      </c>
      <c r="AB114" s="56">
        <f t="shared" si="115"/>
        <v>5.4881969570206302E-3</v>
      </c>
      <c r="AC114" s="56">
        <f t="shared" si="115"/>
        <v>-4.748162690672908E-3</v>
      </c>
      <c r="AD114" s="56"/>
    </row>
    <row r="115" spans="1:30">
      <c r="A115" s="195" t="str">
        <f t="shared" si="111"/>
        <v>Rend el. CHP - elc/fuel tot</v>
      </c>
      <c r="B115" s="195"/>
      <c r="C115" s="195" t="str">
        <f t="shared" si="111"/>
        <v>elc/fuel tot</v>
      </c>
      <c r="G115" s="195" t="str">
        <f>A106</f>
        <v>Rend el. CHP - elc/fuel tot</v>
      </c>
      <c r="H115" s="195"/>
      <c r="I115" s="195" t="str">
        <f>C106</f>
        <v>elc/fuel tot</v>
      </c>
      <c r="J115" t="str">
        <f t="shared" si="113"/>
        <v>variazione annuale</v>
      </c>
      <c r="K115" t="str">
        <f>A106</f>
        <v>Rend el. CHP - elc/fuel tot</v>
      </c>
      <c r="L115" s="56">
        <f>L106/K106-1</f>
        <v>1.0527881995278987E-2</v>
      </c>
      <c r="M115" s="56">
        <f t="shared" ref="M115:AC115" si="116">M106/L106-1</f>
        <v>8.2152568885118793E-3</v>
      </c>
      <c r="N115" s="56">
        <f t="shared" si="116"/>
        <v>1.0046563499350736E-2</v>
      </c>
      <c r="O115" s="56">
        <f t="shared" si="116"/>
        <v>2.0766502551245347E-2</v>
      </c>
      <c r="P115" s="56">
        <f t="shared" si="116"/>
        <v>-7.0081494960784196E-3</v>
      </c>
      <c r="Q115" s="56">
        <f t="shared" si="116"/>
        <v>-2.9576900111815241E-2</v>
      </c>
      <c r="R115" s="56">
        <f t="shared" si="116"/>
        <v>1.0175515072055719E-2</v>
      </c>
      <c r="S115" s="56">
        <f t="shared" si="116"/>
        <v>-1.0619402383049703E-4</v>
      </c>
      <c r="T115" s="56">
        <f t="shared" si="116"/>
        <v>-1.7942307826878001E-2</v>
      </c>
      <c r="U115" s="56">
        <f t="shared" si="116"/>
        <v>3.8204974336284891E-2</v>
      </c>
      <c r="V115" s="56">
        <f t="shared" si="116"/>
        <v>2.1806717053374669E-2</v>
      </c>
      <c r="W115" s="56">
        <f t="shared" si="116"/>
        <v>1.2857286427822467E-2</v>
      </c>
      <c r="X115" s="56">
        <f t="shared" si="116"/>
        <v>-1.0669087045600767E-2</v>
      </c>
      <c r="Y115" s="56">
        <f t="shared" si="116"/>
        <v>3.2064123721087245E-3</v>
      </c>
      <c r="Z115" s="56">
        <f t="shared" si="116"/>
        <v>-1.2423477343846079E-2</v>
      </c>
      <c r="AA115" s="56">
        <f t="shared" si="116"/>
        <v>1.6636105367948018E-2</v>
      </c>
      <c r="AB115" s="56">
        <f t="shared" si="116"/>
        <v>2.0265288910905177E-2</v>
      </c>
      <c r="AC115" s="56">
        <f t="shared" si="116"/>
        <v>-3.9064120785176071E-3</v>
      </c>
      <c r="AD115" s="56"/>
    </row>
    <row r="118" spans="1:30">
      <c r="J118" t="s">
        <v>568</v>
      </c>
      <c r="K118" s="203">
        <f>K46/$K$46</f>
        <v>1</v>
      </c>
      <c r="L118" s="203">
        <f t="shared" ref="L118:AB118" si="117">L46/$K$46</f>
        <v>1.0820194339700824</v>
      </c>
      <c r="M118" s="203">
        <f t="shared" si="117"/>
        <v>1.0587732565366923</v>
      </c>
      <c r="N118" s="203">
        <f t="shared" si="117"/>
        <v>1.027506560544305</v>
      </c>
      <c r="O118" s="203">
        <f t="shared" si="117"/>
        <v>0.93657913694188599</v>
      </c>
      <c r="P118" s="203">
        <f t="shared" si="117"/>
        <v>1.0489106882591532</v>
      </c>
      <c r="Q118" s="203">
        <f t="shared" si="117"/>
        <v>1.1179590597323823</v>
      </c>
      <c r="R118" s="203">
        <f t="shared" si="117"/>
        <v>1.0527274324109401</v>
      </c>
      <c r="S118" s="203">
        <f t="shared" si="117"/>
        <v>1.1019113854578251</v>
      </c>
      <c r="T118" s="203">
        <f t="shared" si="117"/>
        <v>1.0486070836107155</v>
      </c>
      <c r="U118" s="203">
        <f>U46/$K$46</f>
        <v>1.105185978451688</v>
      </c>
      <c r="V118" s="203">
        <f t="shared" si="117"/>
        <v>1.138300571177699</v>
      </c>
      <c r="W118" s="203">
        <f t="shared" si="117"/>
        <v>1.1389303008098144</v>
      </c>
      <c r="X118" s="203">
        <f t="shared" si="117"/>
        <v>1.1117359788079579</v>
      </c>
      <c r="Y118" s="203">
        <f t="shared" si="117"/>
        <v>1.1233813942106667</v>
      </c>
      <c r="Z118" s="203">
        <f t="shared" si="117"/>
        <v>1.10570725351568</v>
      </c>
      <c r="AA118" s="203">
        <f t="shared" si="117"/>
        <v>1.0755615572753543</v>
      </c>
      <c r="AB118" s="203">
        <f t="shared" si="117"/>
        <v>1.0568365842197329</v>
      </c>
      <c r="AC118" s="203">
        <f t="shared" ref="AC118" si="118">AC46/$K$46</f>
        <v>0.94849577716160549</v>
      </c>
      <c r="AD118" s="203"/>
    </row>
    <row r="119" spans="1:30">
      <c r="A119" s="420"/>
      <c r="B119" s="421"/>
      <c r="J119" t="s">
        <v>579</v>
      </c>
      <c r="K119" s="203">
        <f>K60/$K$60</f>
        <v>1</v>
      </c>
      <c r="L119" s="203">
        <f t="shared" ref="L119:AB119" si="119">L60/$K$60</f>
        <v>0.95994938432812515</v>
      </c>
      <c r="M119" s="203">
        <f>M60/$K$60</f>
        <v>1.0535074245276803</v>
      </c>
      <c r="N119" s="203">
        <f t="shared" si="119"/>
        <v>1.0359691661286359</v>
      </c>
      <c r="O119" s="203">
        <f t="shared" si="119"/>
        <v>0.87997297884756609</v>
      </c>
      <c r="P119" s="203">
        <f t="shared" si="119"/>
        <v>0.89822980488406556</v>
      </c>
      <c r="Q119" s="203">
        <f t="shared" si="119"/>
        <v>0.88892578294633928</v>
      </c>
      <c r="R119" s="203">
        <f t="shared" si="119"/>
        <v>0.84172623849887729</v>
      </c>
      <c r="S119" s="203">
        <f t="shared" si="119"/>
        <v>0.71708862425326614</v>
      </c>
      <c r="T119" s="203">
        <f t="shared" si="119"/>
        <v>0.65327688950975316</v>
      </c>
      <c r="U119" s="203">
        <f t="shared" si="119"/>
        <v>0.71108476629214834</v>
      </c>
      <c r="V119" s="203">
        <f t="shared" si="119"/>
        <v>0.74047832017367354</v>
      </c>
      <c r="W119" s="203">
        <f t="shared" si="119"/>
        <v>0.7901960231642714</v>
      </c>
      <c r="X119" s="203">
        <f t="shared" si="119"/>
        <v>0.72311207814408107</v>
      </c>
      <c r="Y119" s="203">
        <f t="shared" si="119"/>
        <v>0.74561683732777451</v>
      </c>
      <c r="Z119" s="203">
        <f t="shared" si="119"/>
        <v>0.69136113373257901</v>
      </c>
      <c r="AA119" s="203">
        <f t="shared" si="119"/>
        <v>0.72463372283765903</v>
      </c>
      <c r="AB119" s="203">
        <f t="shared" si="119"/>
        <v>0.75254533491441322</v>
      </c>
      <c r="AC119" s="203">
        <f t="shared" ref="AC119" si="120">AC60/$K$60</f>
        <v>0.61014419321722468</v>
      </c>
      <c r="AD119" s="203"/>
    </row>
    <row r="120" spans="1:30">
      <c r="A120" s="421"/>
      <c r="B120" s="422"/>
      <c r="J120" t="s">
        <v>569</v>
      </c>
      <c r="K120" s="203">
        <f>K123/$K$123</f>
        <v>1</v>
      </c>
      <c r="L120" s="203">
        <f t="shared" ref="L120:AB120" si="121">L123/$K$123</f>
        <v>1.0764283520603219</v>
      </c>
      <c r="M120" s="203">
        <f t="shared" si="121"/>
        <v>1.1400383364927407</v>
      </c>
      <c r="N120" s="203">
        <f t="shared" si="121"/>
        <v>1.0899922691603039</v>
      </c>
      <c r="O120" s="203">
        <f t="shared" si="121"/>
        <v>1.0636714075423344</v>
      </c>
      <c r="P120" s="203">
        <f t="shared" si="121"/>
        <v>1.1804674510468405</v>
      </c>
      <c r="Q120" s="203">
        <f t="shared" si="121"/>
        <v>1.0749976172069429</v>
      </c>
      <c r="R120" s="203">
        <f t="shared" si="121"/>
        <v>1.0679021889925553</v>
      </c>
      <c r="S120" s="203">
        <f t="shared" si="121"/>
        <v>0.96680864583223014</v>
      </c>
      <c r="T120" s="203">
        <f t="shared" si="121"/>
        <v>0.9017622078430958</v>
      </c>
      <c r="U120" s="203">
        <f t="shared" si="121"/>
        <v>1.0153293020004872</v>
      </c>
      <c r="V120" s="203">
        <f t="shared" si="121"/>
        <v>1.1133129295646373</v>
      </c>
      <c r="W120" s="203">
        <f t="shared" si="121"/>
        <v>1.1662776536372013</v>
      </c>
      <c r="X120" s="203">
        <f t="shared" si="121"/>
        <v>1.1111302911243606</v>
      </c>
      <c r="Y120" s="203">
        <f t="shared" si="121"/>
        <v>1.1359123979370309</v>
      </c>
      <c r="Z120" s="203">
        <f t="shared" si="121"/>
        <v>1.0638111980683491</v>
      </c>
      <c r="AA120" s="203">
        <f t="shared" si="121"/>
        <v>1.0758490685926694</v>
      </c>
      <c r="AB120" s="203">
        <f t="shared" si="121"/>
        <v>1.1166456627871266</v>
      </c>
      <c r="AC120" s="203">
        <f t="shared" ref="AC120" si="122">AC123/$K$123</f>
        <v>1.0198820252681966</v>
      </c>
      <c r="AD120" s="203"/>
    </row>
    <row r="121" spans="1:30">
      <c r="A121" s="421"/>
      <c r="B121" s="422"/>
      <c r="J121" t="s">
        <v>570</v>
      </c>
      <c r="K121" s="203">
        <f>K122/$K$122</f>
        <v>1</v>
      </c>
      <c r="L121" s="203">
        <f t="shared" ref="L121:AC121" si="123">L122/$K$122</f>
        <v>1.0124572306403183</v>
      </c>
      <c r="M121" s="203">
        <f t="shared" si="123"/>
        <v>0.99721769048631703</v>
      </c>
      <c r="N121" s="203">
        <f t="shared" si="123"/>
        <v>0.99972322907872102</v>
      </c>
      <c r="O121" s="203">
        <f t="shared" si="123"/>
        <v>0.79727990046403563</v>
      </c>
      <c r="P121" s="203">
        <f t="shared" si="123"/>
        <v>0.75542718576026302</v>
      </c>
      <c r="Q121" s="203">
        <f t="shared" si="123"/>
        <v>0.80105820441690845</v>
      </c>
      <c r="R121" s="203">
        <f t="shared" si="123"/>
        <v>0.73618335438739035</v>
      </c>
      <c r="S121" s="203">
        <f t="shared" si="123"/>
        <v>0.64077343506992279</v>
      </c>
      <c r="T121" s="203">
        <f t="shared" si="123"/>
        <v>0.57359757761964303</v>
      </c>
      <c r="U121" s="203">
        <f t="shared" si="123"/>
        <v>0.60676247849629583</v>
      </c>
      <c r="V121" s="203">
        <f t="shared" si="123"/>
        <v>0.59396055379576085</v>
      </c>
      <c r="W121" s="203">
        <f t="shared" si="123"/>
        <v>0.62651414642197412</v>
      </c>
      <c r="X121" s="203">
        <f t="shared" si="123"/>
        <v>0.55358310427788815</v>
      </c>
      <c r="Y121" s="203">
        <f t="shared" si="123"/>
        <v>0.55749788930432742</v>
      </c>
      <c r="Z121" s="203">
        <f t="shared" si="123"/>
        <v>0.51007420761627875</v>
      </c>
      <c r="AA121" s="203">
        <f t="shared" si="123"/>
        <v>0.55571925525769539</v>
      </c>
      <c r="AB121" s="203">
        <f t="shared" si="123"/>
        <v>0.59082656746925999</v>
      </c>
      <c r="AC121" s="203">
        <f t="shared" si="123"/>
        <v>0.416869695488507</v>
      </c>
      <c r="AD121" s="203"/>
    </row>
    <row r="122" spans="1:30">
      <c r="A122" s="420"/>
      <c r="B122" s="423"/>
      <c r="J122" t="s">
        <v>570</v>
      </c>
      <c r="K122" s="200">
        <f>'6-y'!J6</f>
        <v>157.53100000000001</v>
      </c>
      <c r="L122" s="200">
        <f>'6-y'!K6</f>
        <v>159.49340000000001</v>
      </c>
      <c r="M122" s="200">
        <f>'6-y'!L6</f>
        <v>157.09270000000001</v>
      </c>
      <c r="N122" s="200">
        <f>'6-y'!M6</f>
        <v>157.48740000000001</v>
      </c>
      <c r="O122" s="200">
        <f>'6-y'!N6</f>
        <v>125.5963</v>
      </c>
      <c r="P122" s="200">
        <f>'6-y'!O6</f>
        <v>119.00319999999999</v>
      </c>
      <c r="Q122" s="200">
        <f>'6-y'!P6</f>
        <v>126.1915</v>
      </c>
      <c r="R122" s="200">
        <f>'6-y'!Q6</f>
        <v>115.9717</v>
      </c>
      <c r="S122" s="200">
        <f>'6-y'!R6</f>
        <v>100.94168000000001</v>
      </c>
      <c r="T122" s="200">
        <f>'6-y'!S6</f>
        <v>90.359399999999994</v>
      </c>
      <c r="U122" s="200">
        <f>'6-y'!T6</f>
        <v>95.583899999999986</v>
      </c>
      <c r="V122" s="200">
        <f>'6-y'!U6</f>
        <v>93.5672</v>
      </c>
      <c r="W122" s="200">
        <f>'6-y'!V6</f>
        <v>98.695400000000006</v>
      </c>
      <c r="X122" s="200">
        <f>'6-y'!W6</f>
        <v>87.206500000000005</v>
      </c>
      <c r="Y122" s="200">
        <f>'6-y'!X6</f>
        <v>87.823200000000014</v>
      </c>
      <c r="Z122" s="200">
        <f>'6-y'!Y6</f>
        <v>80.352500000000006</v>
      </c>
      <c r="AA122" s="200">
        <f>'6-y'!Z6</f>
        <v>87.54301000000001</v>
      </c>
      <c r="AB122" s="200">
        <f>'6-y'!AA6</f>
        <v>93.073499999999996</v>
      </c>
      <c r="AC122" s="200">
        <f>'6-y'!AB6</f>
        <v>65.669899999999998</v>
      </c>
      <c r="AD122" s="200"/>
    </row>
    <row r="123" spans="1:30">
      <c r="A123" s="68"/>
      <c r="B123" s="424"/>
      <c r="J123" t="s">
        <v>569</v>
      </c>
      <c r="K123" s="200">
        <f>'6-y'!J13</f>
        <v>94.426999999999992</v>
      </c>
      <c r="L123" s="200">
        <f>'6-y'!K13</f>
        <v>101.6439</v>
      </c>
      <c r="M123" s="200">
        <f>'6-y'!L13</f>
        <v>107.6504</v>
      </c>
      <c r="N123" s="200">
        <f>'6-y'!M13</f>
        <v>102.9247</v>
      </c>
      <c r="O123" s="200">
        <f>'6-y'!N13</f>
        <v>100.43929999999999</v>
      </c>
      <c r="P123" s="200">
        <f>'6-y'!O13</f>
        <v>111.468</v>
      </c>
      <c r="Q123" s="200">
        <f>'6-y'!P13</f>
        <v>101.50879999999999</v>
      </c>
      <c r="R123" s="200">
        <f>'6-y'!Q13</f>
        <v>100.83880000000001</v>
      </c>
      <c r="S123" s="200">
        <f>'6-y'!R13</f>
        <v>91.292839999999984</v>
      </c>
      <c r="T123" s="200">
        <f>'6-y'!S13</f>
        <v>85.150700000000001</v>
      </c>
      <c r="U123" s="200">
        <f>'6-y'!T13</f>
        <v>95.874499999999998</v>
      </c>
      <c r="V123" s="200">
        <f>'6-y'!U13</f>
        <v>105.1268</v>
      </c>
      <c r="W123" s="200">
        <f>'6-y'!V13</f>
        <v>110.12809999999999</v>
      </c>
      <c r="X123" s="200">
        <f>'6-y'!W13</f>
        <v>104.9207</v>
      </c>
      <c r="Y123" s="200">
        <f>'6-y'!X13</f>
        <v>107.2608</v>
      </c>
      <c r="Z123" s="200">
        <f>'6-y'!Y13</f>
        <v>100.4525</v>
      </c>
      <c r="AA123" s="200">
        <f>'6-y'!Z13</f>
        <v>101.58919999999999</v>
      </c>
      <c r="AB123" s="200">
        <f>'6-y'!AA13</f>
        <v>105.4415</v>
      </c>
      <c r="AC123" s="200">
        <f>'6-y'!AB13</f>
        <v>96.304400000000001</v>
      </c>
      <c r="AD123" s="200"/>
    </row>
    <row r="124" spans="1:30">
      <c r="A124" s="271"/>
      <c r="B124" s="425"/>
      <c r="J124" t="s">
        <v>580</v>
      </c>
      <c r="K124" s="200">
        <f>'7'!Q15</f>
        <v>303.6979</v>
      </c>
      <c r="L124" s="200">
        <f>'7'!R15</f>
        <v>314.12290000000002</v>
      </c>
      <c r="M124" s="200">
        <f>'7'!S15</f>
        <v>313.88780000000003</v>
      </c>
      <c r="N124" s="200">
        <f>'7'!T15</f>
        <v>319.12960000000004</v>
      </c>
      <c r="O124" s="200">
        <f>'7'!U15</f>
        <v>292.64260000000002</v>
      </c>
      <c r="P124" s="200">
        <f>'7'!V15</f>
        <v>302.06208000000004</v>
      </c>
      <c r="Q124" s="200">
        <f>'7'!W15</f>
        <v>302.58045999999996</v>
      </c>
      <c r="R124" s="200">
        <f>'7'!X15</f>
        <v>299.27619999999996</v>
      </c>
      <c r="S124" s="200">
        <f>'7'!Y15</f>
        <v>289.8039</v>
      </c>
      <c r="T124" s="200">
        <f>'7'!Z15</f>
        <v>279.82820000000004</v>
      </c>
      <c r="U124" s="200">
        <f>'7'!AA15</f>
        <v>282.9939</v>
      </c>
      <c r="V124" s="200">
        <f>'7'!AB15</f>
        <v>289.76819999999998</v>
      </c>
      <c r="W124" s="200">
        <f>'7'!AC15</f>
        <v>295.829993172</v>
      </c>
      <c r="X124" s="200">
        <f>'7'!AD15</f>
        <v>289.70845972702</v>
      </c>
      <c r="Y124" s="200">
        <f>'7'!AE15</f>
        <v>293.85318719753997</v>
      </c>
      <c r="Z124" s="200">
        <f>'7'!AF15</f>
        <v>280.53101400000003</v>
      </c>
      <c r="AA124" s="200">
        <f>'7'!AG15</f>
        <v>289.06950605540004</v>
      </c>
      <c r="AB124" s="200">
        <f>'7'!AH15</f>
        <v>283.96142303982998</v>
      </c>
      <c r="AC124" s="200">
        <f>'7'!AI15</f>
        <v>264.70822462643901</v>
      </c>
      <c r="AD124" s="200"/>
    </row>
    <row r="125" spans="1:30">
      <c r="A125" s="388"/>
      <c r="B125" s="425"/>
      <c r="C125" s="207"/>
      <c r="K125" s="203">
        <f>K124/$K$124</f>
        <v>1</v>
      </c>
      <c r="L125" s="203">
        <f t="shared" ref="L125:AB125" si="124">L124/$K$124</f>
        <v>1.0343268754904134</v>
      </c>
      <c r="M125" s="203">
        <f t="shared" si="124"/>
        <v>1.0335527509409845</v>
      </c>
      <c r="N125" s="203">
        <f t="shared" si="124"/>
        <v>1.050812666139608</v>
      </c>
      <c r="O125" s="203">
        <f t="shared" si="124"/>
        <v>0.96359770680007995</v>
      </c>
      <c r="P125" s="203">
        <f t="shared" si="124"/>
        <v>0.99461366048299982</v>
      </c>
      <c r="Q125" s="203">
        <f t="shared" si="124"/>
        <v>0.99632055407692954</v>
      </c>
      <c r="R125" s="203">
        <f t="shared" si="124"/>
        <v>0.98544046567328902</v>
      </c>
      <c r="S125" s="203">
        <f t="shared" si="124"/>
        <v>0.9542505891545513</v>
      </c>
      <c r="T125" s="203">
        <f t="shared" si="124"/>
        <v>0.92140314437472248</v>
      </c>
      <c r="U125" s="203">
        <f t="shared" si="124"/>
        <v>0.93182698991333157</v>
      </c>
      <c r="V125" s="203">
        <f t="shared" si="124"/>
        <v>0.9541330381276919</v>
      </c>
      <c r="W125" s="203">
        <f t="shared" si="124"/>
        <v>0.97409298244077425</v>
      </c>
      <c r="X125" s="203">
        <f t="shared" si="124"/>
        <v>0.95393632859173538</v>
      </c>
      <c r="Y125" s="203">
        <f t="shared" si="124"/>
        <v>0.96758386277132624</v>
      </c>
      <c r="Z125" s="203">
        <f t="shared" si="124"/>
        <v>0.92371733225682506</v>
      </c>
      <c r="AA125" s="203">
        <f t="shared" si="124"/>
        <v>0.95183241654091133</v>
      </c>
      <c r="AB125" s="203">
        <f t="shared" si="124"/>
        <v>0.93501279738789755</v>
      </c>
      <c r="AC125" s="203">
        <f t="shared" ref="AC125" si="125">AC124/$K$124</f>
        <v>0.87161690820528892</v>
      </c>
      <c r="AD125" s="203"/>
    </row>
    <row r="126" spans="1:30">
      <c r="A126" s="388"/>
      <c r="B126" s="425"/>
      <c r="J126" s="68" t="s">
        <v>582</v>
      </c>
      <c r="K126" s="507">
        <f>(K46/1000)/K123</f>
        <v>0.56794047920092428</v>
      </c>
      <c r="L126" s="507">
        <f t="shared" ref="L126:AB126" si="126">(L46/1000)/L123</f>
        <v>0.57089042169640314</v>
      </c>
      <c r="M126" s="507">
        <f t="shared" si="126"/>
        <v>0.52745611391674563</v>
      </c>
      <c r="N126" s="507">
        <f t="shared" si="126"/>
        <v>0.53538230030492295</v>
      </c>
      <c r="O126" s="507">
        <f t="shared" si="126"/>
        <v>0.50008038203583305</v>
      </c>
      <c r="P126" s="507">
        <f t="shared" si="126"/>
        <v>0.50464656047957135</v>
      </c>
      <c r="Q126" s="507">
        <f t="shared" si="126"/>
        <v>0.5906377781200195</v>
      </c>
      <c r="R126" s="507">
        <f t="shared" si="126"/>
        <v>0.55987011600328884</v>
      </c>
      <c r="S126" s="507">
        <f t="shared" si="126"/>
        <v>0.6473050101400003</v>
      </c>
      <c r="T126" s="507">
        <f t="shared" si="126"/>
        <v>0.66042511471380816</v>
      </c>
      <c r="U126" s="507">
        <f t="shared" si="126"/>
        <v>0.61820323019466328</v>
      </c>
      <c r="V126" s="507">
        <f t="shared" si="126"/>
        <v>0.58068756294976109</v>
      </c>
      <c r="W126" s="507">
        <f t="shared" si="126"/>
        <v>0.55462317982437781</v>
      </c>
      <c r="X126" s="507">
        <f t="shared" si="126"/>
        <v>0.56825006895472374</v>
      </c>
      <c r="Y126" s="507">
        <f t="shared" si="126"/>
        <v>0.56167515075293395</v>
      </c>
      <c r="Z126" s="507">
        <f t="shared" si="126"/>
        <v>0.590307667900001</v>
      </c>
      <c r="AA126" s="507">
        <f t="shared" si="126"/>
        <v>0.56778870204174969</v>
      </c>
      <c r="AB126" s="507">
        <f t="shared" si="126"/>
        <v>0.53752080546364589</v>
      </c>
      <c r="AC126" s="507">
        <f t="shared" ref="AC126" si="127">(AC46/1000)/AC123</f>
        <v>0.52818770490592493</v>
      </c>
      <c r="AD126" s="507"/>
    </row>
    <row r="127" spans="1:30">
      <c r="A127" s="271"/>
      <c r="B127" s="426"/>
    </row>
    <row r="128" spans="1:30">
      <c r="B128" s="427"/>
    </row>
    <row r="129" spans="1:2">
      <c r="A129" s="420"/>
      <c r="B129" s="423"/>
    </row>
  </sheetData>
  <mergeCells count="7">
    <mergeCell ref="A1:B1"/>
    <mergeCell ref="E21:E22"/>
    <mergeCell ref="F21:F22"/>
    <mergeCell ref="E10:E11"/>
    <mergeCell ref="F10:F11"/>
    <mergeCell ref="A15:A16"/>
    <mergeCell ref="B16:V16"/>
  </mergeCells>
  <hyperlinks>
    <hyperlink ref="A1" location="Indice!A1" display="Torna indietro" xr:uid="{00000000-0004-0000-1B00-000000000000}"/>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7">
    <tabColor rgb="FFFF0000"/>
  </sheetPr>
  <dimension ref="A1:AQ1053"/>
  <sheetViews>
    <sheetView showGridLines="0" zoomScale="70" zoomScaleNormal="70" workbookViewId="0">
      <pane xSplit="1" ySplit="5" topLeftCell="B6" activePane="bottomRight" state="frozen"/>
      <selection activeCell="Z17" sqref="Z17:AC23"/>
      <selection pane="topRight" activeCell="Z17" sqref="Z17:AC23"/>
      <selection pane="bottomLeft" activeCell="Z17" sqref="Z17:AC23"/>
      <selection pane="bottomRight" activeCell="Z17" sqref="Z17:AC23"/>
    </sheetView>
  </sheetViews>
  <sheetFormatPr defaultRowHeight="14.4"/>
  <cols>
    <col min="1" max="1" width="33.44140625" customWidth="1"/>
    <col min="2" max="9" width="2.44140625" customWidth="1"/>
    <col min="10" max="15" width="10.88671875" customWidth="1"/>
    <col min="16" max="16" width="12" customWidth="1"/>
    <col min="17" max="17" width="19.5546875" customWidth="1"/>
    <col min="18" max="19" width="12.44140625" customWidth="1"/>
    <col min="20" max="20" width="11.77734375" bestFit="1" customWidth="1"/>
    <col min="21" max="21" width="17.44140625" customWidth="1"/>
    <col min="22" max="23" width="11.77734375" bestFit="1" customWidth="1"/>
    <col min="24" max="24" width="14.21875" customWidth="1"/>
    <col min="25" max="25" width="11.77734375" customWidth="1"/>
    <col min="26" max="26" width="13.77734375" customWidth="1"/>
    <col min="27" max="27" width="10.21875" bestFit="1" customWidth="1"/>
    <col min="28" max="28" width="9" bestFit="1" customWidth="1"/>
    <col min="31" max="31" width="9.77734375" customWidth="1"/>
    <col min="33" max="33" width="10.44140625" customWidth="1"/>
    <col min="34" max="34" width="9.77734375" customWidth="1"/>
    <col min="36" max="36" width="53.77734375" customWidth="1"/>
    <col min="37" max="43" width="10.77734375" customWidth="1"/>
    <col min="45" max="45" width="10.77734375" customWidth="1"/>
  </cols>
  <sheetData>
    <row r="1" spans="1:43" ht="15.6">
      <c r="A1" s="906" t="s">
        <v>57</v>
      </c>
      <c r="B1" s="906"/>
    </row>
    <row r="2" spans="1:43" ht="15.6">
      <c r="A2" s="113"/>
      <c r="B2" s="113"/>
      <c r="J2" s="284">
        <f t="shared" ref="J2:O2" si="0">J13/J20</f>
        <v>0</v>
      </c>
      <c r="K2" s="284">
        <f t="shared" si="0"/>
        <v>0.63865312451412559</v>
      </c>
      <c r="L2" s="284">
        <f t="shared" si="0"/>
        <v>0.98527108816184861</v>
      </c>
      <c r="M2" s="284">
        <f t="shared" si="0"/>
        <v>0.54373343639575977</v>
      </c>
      <c r="N2" s="284">
        <f t="shared" si="0"/>
        <v>0.67417414234719275</v>
      </c>
      <c r="O2" s="284">
        <f t="shared" si="0"/>
        <v>0.7207112901056254</v>
      </c>
      <c r="P2" s="284">
        <f>SUM(K13:O13)/SUM(K20:O20)</f>
        <v>0.64740459690758623</v>
      </c>
    </row>
    <row r="3" spans="1:43">
      <c r="J3" s="196" t="e">
        <f>J57*((J13/11.63)/((J13/11.63)+J50))*41.868</f>
        <v>#DIV/0!</v>
      </c>
      <c r="K3" s="196">
        <f t="shared" ref="K3:P3" si="1">K57*((K13/11.63)/((K13/11.63)+K50))*41.868</f>
        <v>413168.55588475917</v>
      </c>
      <c r="L3" s="196">
        <f t="shared" si="1"/>
        <v>8133.4980611972469</v>
      </c>
      <c r="M3" s="196">
        <f t="shared" si="1"/>
        <v>9229.2532067552947</v>
      </c>
      <c r="N3" s="196">
        <f t="shared" si="1"/>
        <v>78314.199187805993</v>
      </c>
      <c r="O3" s="196">
        <f t="shared" si="1"/>
        <v>33706.782833275844</v>
      </c>
      <c r="P3" s="196">
        <f t="shared" si="1"/>
        <v>542326.12374663015</v>
      </c>
      <c r="AJ3" s="68" t="s">
        <v>288</v>
      </c>
    </row>
    <row r="4" spans="1:43">
      <c r="A4" s="450" t="s">
        <v>612</v>
      </c>
      <c r="J4" s="68"/>
      <c r="R4" s="68" t="s">
        <v>136</v>
      </c>
      <c r="S4" s="68"/>
    </row>
    <row r="5" spans="1:43" ht="15.6">
      <c r="A5" s="68" t="s">
        <v>583</v>
      </c>
      <c r="J5" s="210" t="s">
        <v>5</v>
      </c>
      <c r="K5" s="210" t="s">
        <v>210</v>
      </c>
      <c r="L5" s="210" t="s">
        <v>211</v>
      </c>
      <c r="M5" s="210" t="s">
        <v>214</v>
      </c>
      <c r="N5" s="210" t="s">
        <v>216</v>
      </c>
      <c r="O5" s="210" t="s">
        <v>215</v>
      </c>
      <c r="P5" s="210" t="s">
        <v>213</v>
      </c>
      <c r="Q5" s="2"/>
      <c r="R5" s="210" t="s">
        <v>5</v>
      </c>
      <c r="S5" s="210" t="s">
        <v>210</v>
      </c>
      <c r="T5" s="210" t="s">
        <v>211</v>
      </c>
      <c r="U5" s="210" t="s">
        <v>214</v>
      </c>
      <c r="V5" s="210" t="s">
        <v>216</v>
      </c>
      <c r="W5" s="210" t="s">
        <v>215</v>
      </c>
      <c r="X5" s="210" t="s">
        <v>213</v>
      </c>
      <c r="AA5" s="68"/>
      <c r="AB5" s="619"/>
      <c r="AJ5" s="68"/>
      <c r="AK5" s="210" t="s">
        <v>5</v>
      </c>
      <c r="AL5" s="210" t="s">
        <v>210</v>
      </c>
      <c r="AM5" s="210" t="s">
        <v>211</v>
      </c>
      <c r="AN5" s="210" t="s">
        <v>214</v>
      </c>
      <c r="AO5" s="210" t="s">
        <v>216</v>
      </c>
      <c r="AP5" s="210" t="s">
        <v>215</v>
      </c>
      <c r="AQ5" s="210" t="s">
        <v>213</v>
      </c>
    </row>
    <row r="6" spans="1:43" ht="15.6">
      <c r="A6" s="11" t="s">
        <v>17</v>
      </c>
      <c r="J6" s="209">
        <f t="shared" ref="J6:P6" si="2">SUM(J7:J12)</f>
        <v>13219.9</v>
      </c>
      <c r="K6" s="209">
        <f t="shared" si="2"/>
        <v>42995.4</v>
      </c>
      <c r="L6" s="209">
        <f t="shared" si="2"/>
        <v>17.399999999999999</v>
      </c>
      <c r="M6" s="209">
        <f t="shared" si="2"/>
        <v>1652.78</v>
      </c>
      <c r="N6" s="209">
        <f t="shared" si="2"/>
        <v>5687.45</v>
      </c>
      <c r="O6" s="209">
        <f t="shared" si="2"/>
        <v>2097.0700000000002</v>
      </c>
      <c r="P6" s="209">
        <f t="shared" si="2"/>
        <v>65670</v>
      </c>
      <c r="Q6" s="2"/>
      <c r="R6" s="236">
        <v>9.82</v>
      </c>
      <c r="S6" s="236">
        <v>6.6669999999999998</v>
      </c>
      <c r="T6" s="236">
        <v>9.42</v>
      </c>
      <c r="U6" s="236">
        <v>9.86</v>
      </c>
      <c r="V6" s="236">
        <v>11.839</v>
      </c>
      <c r="W6" s="236">
        <v>9.9079999999999995</v>
      </c>
      <c r="X6" s="502">
        <v>7.9340000000000002</v>
      </c>
      <c r="AA6" s="68"/>
      <c r="AC6" s="451"/>
      <c r="AJ6" s="11" t="s">
        <v>17</v>
      </c>
      <c r="AK6" s="286">
        <f t="shared" ref="AK6:AK20" si="3">IFERROR(J6*3.6/J25,"")</f>
        <v>0.36659877800407331</v>
      </c>
      <c r="AL6" s="286">
        <f t="shared" ref="AL6:AL20" si="4">IFERROR(K6*3.6/K25,"")</f>
        <v>0.53998726931728791</v>
      </c>
      <c r="AM6" s="286">
        <f t="shared" ref="AM6:AM20" si="5">IFERROR(L6*3.6/L25,"")</f>
        <v>0.38216560509554137</v>
      </c>
      <c r="AN6" s="286">
        <f t="shared" ref="AN6:AN20" si="6">IFERROR(M6*3.6/M25,"")</f>
        <v>0.36510154266233308</v>
      </c>
      <c r="AO6" s="286">
        <f t="shared" ref="AO6:AO20" si="7">IFERROR(N6*3.6/N25,"")</f>
        <v>0.30406811242861764</v>
      </c>
      <c r="AP6" s="286">
        <f t="shared" ref="AP6:AP20" si="8">IFERROR(O6*3.6/O25,"")</f>
        <v>0.36332984674190505</v>
      </c>
      <c r="AQ6" s="286">
        <f t="shared" ref="AQ6:AQ20" si="9">IFERROR(P6*3.6/P25,"")</f>
        <v>0.45373296413937336</v>
      </c>
    </row>
    <row r="7" spans="1:43" ht="15.6">
      <c r="A7" s="10" t="s">
        <v>18</v>
      </c>
      <c r="J7" s="211"/>
      <c r="K7" s="211">
        <v>415.7</v>
      </c>
      <c r="L7" s="211">
        <v>17.399999999999999</v>
      </c>
      <c r="M7" s="211">
        <v>192.61</v>
      </c>
      <c r="N7" s="211">
        <v>611.49</v>
      </c>
      <c r="O7" s="211">
        <v>2049.44</v>
      </c>
      <c r="P7" s="209">
        <f t="shared" ref="P7:P12" si="10">SUM(J7:O7)</f>
        <v>3286.6400000000003</v>
      </c>
      <c r="Q7" s="2"/>
      <c r="R7" s="654"/>
      <c r="S7" s="654">
        <v>8.6679999999999993</v>
      </c>
      <c r="T7" s="654">
        <v>9.42</v>
      </c>
      <c r="U7" s="654">
        <v>9.5860000000000003</v>
      </c>
      <c r="V7" s="654">
        <v>8.9559999999999995</v>
      </c>
      <c r="W7" s="654">
        <v>9.8870000000000005</v>
      </c>
      <c r="X7" s="236">
        <v>9.5389999999999997</v>
      </c>
      <c r="Z7" s="199"/>
      <c r="AA7" s="237"/>
      <c r="AB7" s="237"/>
      <c r="AC7" s="216"/>
      <c r="AF7" s="215"/>
      <c r="AG7" s="237"/>
      <c r="AH7" s="237"/>
      <c r="AJ7" s="10" t="s">
        <v>18</v>
      </c>
      <c r="AK7" s="56" t="str">
        <f t="shared" si="3"/>
        <v/>
      </c>
      <c r="AL7" s="56">
        <f t="shared" si="4"/>
        <v>0.41532071988924785</v>
      </c>
      <c r="AM7" s="56">
        <f t="shared" si="5"/>
        <v>0.38216560509554137</v>
      </c>
      <c r="AN7" s="56">
        <f t="shared" si="6"/>
        <v>0.37554767369079911</v>
      </c>
      <c r="AO7" s="56">
        <f t="shared" si="7"/>
        <v>0.40196516301920504</v>
      </c>
      <c r="AP7" s="56">
        <f t="shared" si="8"/>
        <v>0.36411449377971072</v>
      </c>
      <c r="AQ7" s="286">
        <f t="shared" si="9"/>
        <v>0.37737862437752673</v>
      </c>
    </row>
    <row r="8" spans="1:43" ht="15.6">
      <c r="A8" s="10" t="s">
        <v>19</v>
      </c>
      <c r="J8" s="211"/>
      <c r="K8" s="211">
        <v>209.9</v>
      </c>
      <c r="L8" s="211"/>
      <c r="M8" s="211">
        <v>4.6100000000000003</v>
      </c>
      <c r="N8" s="211">
        <v>4.4800000000000004</v>
      </c>
      <c r="O8" s="211">
        <v>34.130000000000003</v>
      </c>
      <c r="P8" s="209">
        <f t="shared" si="10"/>
        <v>253.12</v>
      </c>
      <c r="Q8" s="2"/>
      <c r="R8" s="654"/>
      <c r="S8" s="654">
        <v>10.647</v>
      </c>
      <c r="T8" s="654"/>
      <c r="U8" s="654">
        <v>14.170999999999999</v>
      </c>
      <c r="V8" s="654">
        <v>13.286</v>
      </c>
      <c r="W8" s="654">
        <v>11.548999999999999</v>
      </c>
      <c r="X8" s="236">
        <v>10.879</v>
      </c>
      <c r="Z8" s="199"/>
      <c r="AA8" s="237"/>
      <c r="AB8" s="237"/>
      <c r="AC8" s="216"/>
      <c r="AF8" s="215"/>
      <c r="AG8" s="237"/>
      <c r="AH8" s="237"/>
      <c r="AJ8" s="10" t="s">
        <v>19</v>
      </c>
      <c r="AK8" s="56" t="str">
        <f t="shared" si="3"/>
        <v/>
      </c>
      <c r="AL8" s="56">
        <f t="shared" si="4"/>
        <v>0.33812341504649196</v>
      </c>
      <c r="AM8" s="56" t="str">
        <f t="shared" si="5"/>
        <v/>
      </c>
      <c r="AN8" s="56">
        <f t="shared" si="6"/>
        <v>0.25403994072401381</v>
      </c>
      <c r="AO8" s="56">
        <f t="shared" si="7"/>
        <v>0.27096191479753129</v>
      </c>
      <c r="AP8" s="56">
        <f t="shared" si="8"/>
        <v>0.31171530002597631</v>
      </c>
      <c r="AQ8" s="286">
        <f t="shared" si="9"/>
        <v>0.33089717271731262</v>
      </c>
    </row>
    <row r="9" spans="1:43" ht="15.6">
      <c r="A9" s="10" t="s">
        <v>20</v>
      </c>
      <c r="J9" s="211">
        <v>13219.9</v>
      </c>
      <c r="K9" s="211">
        <v>836.7</v>
      </c>
      <c r="L9" s="211"/>
      <c r="M9" s="211">
        <v>1454.44</v>
      </c>
      <c r="N9" s="211">
        <v>3574.69</v>
      </c>
      <c r="O9" s="211">
        <v>8.5</v>
      </c>
      <c r="P9" s="209">
        <f t="shared" si="10"/>
        <v>19094.23</v>
      </c>
      <c r="Q9" s="2"/>
      <c r="R9" s="654">
        <v>9.82</v>
      </c>
      <c r="S9" s="654">
        <v>7.524</v>
      </c>
      <c r="T9" s="654"/>
      <c r="U9" s="654">
        <v>9.8840000000000003</v>
      </c>
      <c r="V9" s="654">
        <v>14.016</v>
      </c>
      <c r="W9" s="654">
        <v>9.0020000000000007</v>
      </c>
      <c r="X9" s="236">
        <v>10.509</v>
      </c>
      <c r="Z9" s="199"/>
      <c r="AA9" s="237"/>
      <c r="AB9" s="237"/>
      <c r="AC9" s="216"/>
      <c r="AF9" s="215"/>
      <c r="AG9" s="237"/>
      <c r="AH9" s="237"/>
      <c r="AJ9" s="10" t="s">
        <v>20</v>
      </c>
      <c r="AK9" s="56">
        <f t="shared" si="3"/>
        <v>0.36659877800407331</v>
      </c>
      <c r="AL9" s="56">
        <f t="shared" si="4"/>
        <v>0.4784688995215311</v>
      </c>
      <c r="AM9" s="56" t="str">
        <f t="shared" si="5"/>
        <v/>
      </c>
      <c r="AN9" s="56">
        <f t="shared" si="6"/>
        <v>0.36422501011736141</v>
      </c>
      <c r="AO9" s="56">
        <f t="shared" si="7"/>
        <v>0.25684931506849312</v>
      </c>
      <c r="AP9" s="56">
        <f t="shared" si="8"/>
        <v>0.39991113085980889</v>
      </c>
      <c r="AQ9" s="286">
        <f t="shared" si="9"/>
        <v>0.3425489336871626</v>
      </c>
    </row>
    <row r="10" spans="1:43" ht="15.6">
      <c r="A10" s="10" t="s">
        <v>21</v>
      </c>
      <c r="J10" s="211"/>
      <c r="K10" s="211">
        <v>41529.4</v>
      </c>
      <c r="L10" s="211"/>
      <c r="M10" s="211">
        <v>1.1200000000000001</v>
      </c>
      <c r="N10" s="211">
        <v>1496.79</v>
      </c>
      <c r="O10" s="211">
        <v>5</v>
      </c>
      <c r="P10" s="209">
        <f t="shared" si="10"/>
        <v>43032.310000000005</v>
      </c>
      <c r="Q10" s="2"/>
      <c r="R10" s="654"/>
      <c r="S10" s="654">
        <v>6.61</v>
      </c>
      <c r="T10" s="654"/>
      <c r="U10" s="654">
        <v>8.4689999999999994</v>
      </c>
      <c r="V10" s="654">
        <v>7.8150000000000004</v>
      </c>
      <c r="W10" s="654">
        <v>9.0020000000000007</v>
      </c>
      <c r="X10" s="236">
        <v>6.6520000000000001</v>
      </c>
      <c r="Z10" s="199"/>
      <c r="AA10" s="237"/>
      <c r="AB10" s="237"/>
      <c r="AC10" s="216"/>
      <c r="AF10" s="215"/>
      <c r="AG10" s="237"/>
      <c r="AH10" s="237"/>
      <c r="AJ10" s="10" t="s">
        <v>21</v>
      </c>
      <c r="AK10" s="56" t="str">
        <f t="shared" si="3"/>
        <v/>
      </c>
      <c r="AL10" s="56">
        <f t="shared" si="4"/>
        <v>0.54462934947049912</v>
      </c>
      <c r="AM10" s="56" t="str">
        <f t="shared" si="5"/>
        <v/>
      </c>
      <c r="AN10" s="56">
        <f t="shared" si="6"/>
        <v>0.4250797024442084</v>
      </c>
      <c r="AO10" s="56">
        <f t="shared" si="7"/>
        <v>0.46065259117082535</v>
      </c>
      <c r="AP10" s="56">
        <f t="shared" si="8"/>
        <v>0.39991113085980889</v>
      </c>
      <c r="AQ10" s="286">
        <f t="shared" si="9"/>
        <v>0.54117111456002354</v>
      </c>
    </row>
    <row r="11" spans="1:43" ht="15.6">
      <c r="A11" s="10" t="s">
        <v>23</v>
      </c>
      <c r="J11" s="211"/>
      <c r="K11" s="211"/>
      <c r="L11" s="211"/>
      <c r="M11" s="211"/>
      <c r="N11" s="211"/>
      <c r="O11" s="211"/>
      <c r="P11" s="209">
        <f t="shared" si="10"/>
        <v>0</v>
      </c>
      <c r="Q11" s="2"/>
      <c r="R11" s="654"/>
      <c r="S11" s="654"/>
      <c r="T11" s="654"/>
      <c r="U11" s="654"/>
      <c r="V11" s="654"/>
      <c r="W11" s="654"/>
      <c r="X11" s="236"/>
      <c r="AC11" s="451"/>
      <c r="AF11" s="240"/>
      <c r="AG11" s="240"/>
      <c r="AH11" s="240"/>
      <c r="AJ11" s="10" t="s">
        <v>23</v>
      </c>
      <c r="AK11" s="56" t="str">
        <f t="shared" si="3"/>
        <v/>
      </c>
      <c r="AL11" s="56" t="str">
        <f t="shared" si="4"/>
        <v/>
      </c>
      <c r="AM11" s="56" t="str">
        <f t="shared" si="5"/>
        <v/>
      </c>
      <c r="AN11" s="56" t="str">
        <f t="shared" si="6"/>
        <v/>
      </c>
      <c r="AO11" s="56" t="str">
        <f t="shared" si="7"/>
        <v/>
      </c>
      <c r="AP11" s="56" t="str">
        <f t="shared" si="8"/>
        <v/>
      </c>
      <c r="AQ11" s="286" t="str">
        <f t="shared" si="9"/>
        <v/>
      </c>
    </row>
    <row r="12" spans="1:43" ht="15.6">
      <c r="A12" s="10" t="s">
        <v>387</v>
      </c>
      <c r="J12" s="211"/>
      <c r="K12" s="211">
        <v>3.7</v>
      </c>
      <c r="L12" s="211"/>
      <c r="M12" s="211"/>
      <c r="N12" s="211"/>
      <c r="O12" s="211"/>
      <c r="P12" s="209">
        <f t="shared" si="10"/>
        <v>3.7</v>
      </c>
      <c r="Q12" s="2"/>
      <c r="R12" s="654"/>
      <c r="S12" s="654">
        <v>6.0439999999999996</v>
      </c>
      <c r="T12" s="654"/>
      <c r="U12" s="654"/>
      <c r="V12" s="654"/>
      <c r="W12" s="654"/>
      <c r="X12" s="236">
        <v>6.0439999999999996</v>
      </c>
      <c r="Z12" s="199"/>
      <c r="AA12" s="237"/>
      <c r="AB12" s="237"/>
      <c r="AC12" s="451"/>
      <c r="AF12" s="215"/>
      <c r="AG12" s="237"/>
      <c r="AH12" s="237"/>
      <c r="AJ12" s="10" t="s">
        <v>387</v>
      </c>
      <c r="AK12" s="56" t="str">
        <f t="shared" si="3"/>
        <v/>
      </c>
      <c r="AL12" s="56" t="str">
        <f t="shared" si="4"/>
        <v/>
      </c>
      <c r="AM12" s="56" t="str">
        <f t="shared" si="5"/>
        <v/>
      </c>
      <c r="AN12" s="56" t="str">
        <f t="shared" si="6"/>
        <v/>
      </c>
      <c r="AO12" s="56" t="str">
        <f t="shared" si="7"/>
        <v/>
      </c>
      <c r="AP12" s="56" t="str">
        <f t="shared" si="8"/>
        <v/>
      </c>
      <c r="AQ12" s="286" t="str">
        <f t="shared" si="9"/>
        <v/>
      </c>
    </row>
    <row r="13" spans="1:43" ht="15.6">
      <c r="A13" s="11" t="s">
        <v>24</v>
      </c>
      <c r="J13" s="209">
        <f t="shared" ref="J13:P13" si="11">SUM(J14:J19)</f>
        <v>0</v>
      </c>
      <c r="K13" s="209">
        <f t="shared" si="11"/>
        <v>75991.100000000006</v>
      </c>
      <c r="L13" s="209">
        <f t="shared" si="11"/>
        <v>1163.9499999999998</v>
      </c>
      <c r="M13" s="209">
        <f t="shared" si="11"/>
        <v>1969.6200000000001</v>
      </c>
      <c r="N13" s="209">
        <f t="shared" si="11"/>
        <v>11768.04</v>
      </c>
      <c r="O13" s="209">
        <f t="shared" si="11"/>
        <v>5411.54</v>
      </c>
      <c r="P13" s="209">
        <f t="shared" si="11"/>
        <v>96304.250000000015</v>
      </c>
      <c r="Q13" s="2"/>
      <c r="R13" s="236">
        <v>0</v>
      </c>
      <c r="S13" s="236">
        <v>6.0629999999999997</v>
      </c>
      <c r="T13" s="236">
        <v>8.3849999999999998</v>
      </c>
      <c r="U13" s="236">
        <v>6.3970000000000002</v>
      </c>
      <c r="V13" s="236">
        <v>8.3460000000000001</v>
      </c>
      <c r="W13" s="236">
        <v>7.4720000000000004</v>
      </c>
      <c r="X13" s="502">
        <v>6.4560000000000004</v>
      </c>
      <c r="Z13" s="199"/>
      <c r="AA13" s="470"/>
      <c r="AB13" s="388"/>
      <c r="AC13" s="451"/>
      <c r="AF13" s="240"/>
      <c r="AG13" s="240"/>
      <c r="AH13" s="240"/>
      <c r="AJ13" s="11" t="s">
        <v>24</v>
      </c>
      <c r="AK13" s="286" t="str">
        <f t="shared" si="3"/>
        <v/>
      </c>
      <c r="AL13" s="286">
        <f t="shared" si="4"/>
        <v>0.59379933531538109</v>
      </c>
      <c r="AM13" s="286">
        <f t="shared" si="5"/>
        <v>0.4293597153340844</v>
      </c>
      <c r="AN13" s="286">
        <f t="shared" si="6"/>
        <v>0.56275242092310795</v>
      </c>
      <c r="AO13" s="286">
        <f t="shared" si="7"/>
        <v>0.43134251018938913</v>
      </c>
      <c r="AP13" s="286">
        <f t="shared" si="8"/>
        <v>0.48176001394065399</v>
      </c>
      <c r="AQ13" s="286">
        <f t="shared" si="9"/>
        <v>0.55763748227765775</v>
      </c>
    </row>
    <row r="14" spans="1:43" ht="15.6">
      <c r="A14" s="10" t="s">
        <v>25</v>
      </c>
      <c r="J14" s="211"/>
      <c r="K14" s="211">
        <v>12367.2</v>
      </c>
      <c r="L14" s="211">
        <v>151.65</v>
      </c>
      <c r="M14" s="211">
        <v>8.6999999999999993</v>
      </c>
      <c r="N14" s="211">
        <v>1076.74</v>
      </c>
      <c r="O14" s="211">
        <v>5371.55</v>
      </c>
      <c r="P14" s="209">
        <f t="shared" ref="P14:P19" si="12">SUM(J14:O14)</f>
        <v>18975.84</v>
      </c>
      <c r="Q14" s="2"/>
      <c r="R14" s="654"/>
      <c r="S14" s="654">
        <v>5.6219999999999999</v>
      </c>
      <c r="T14" s="654">
        <v>6.9130000000000003</v>
      </c>
      <c r="U14" s="654">
        <v>5.9560000000000004</v>
      </c>
      <c r="V14" s="654">
        <v>7.7690000000000001</v>
      </c>
      <c r="W14" s="654">
        <v>7.4710000000000001</v>
      </c>
      <c r="X14" s="236">
        <v>6.2779999999999996</v>
      </c>
      <c r="Z14" s="199"/>
      <c r="AA14" s="237"/>
      <c r="AB14" s="237"/>
      <c r="AC14" s="216"/>
      <c r="AF14" s="215"/>
      <c r="AG14" s="237"/>
      <c r="AH14" s="237"/>
      <c r="AJ14" s="10" t="s">
        <v>25</v>
      </c>
      <c r="AK14" s="56" t="str">
        <f t="shared" si="3"/>
        <v/>
      </c>
      <c r="AL14" s="56">
        <f t="shared" si="4"/>
        <v>0.64034151547492002</v>
      </c>
      <c r="AM14" s="56">
        <f t="shared" si="5"/>
        <v>0.52075799218863017</v>
      </c>
      <c r="AN14" s="56">
        <f t="shared" si="6"/>
        <v>0.60443250503693746</v>
      </c>
      <c r="AO14" s="56">
        <f t="shared" si="7"/>
        <v>0.46338010039902178</v>
      </c>
      <c r="AP14" s="56">
        <f t="shared" si="8"/>
        <v>0.48186320439030922</v>
      </c>
      <c r="AQ14" s="286">
        <f t="shared" si="9"/>
        <v>0.57345850736429771</v>
      </c>
    </row>
    <row r="15" spans="1:43" ht="15.6">
      <c r="A15" s="10" t="s">
        <v>26</v>
      </c>
      <c r="J15" s="211"/>
      <c r="K15" s="211">
        <v>5237.3</v>
      </c>
      <c r="L15" s="211"/>
      <c r="M15" s="211">
        <v>210</v>
      </c>
      <c r="N15" s="211">
        <v>19.46</v>
      </c>
      <c r="O15" s="211">
        <v>7.2</v>
      </c>
      <c r="P15" s="209">
        <f t="shared" si="12"/>
        <v>5473.96</v>
      </c>
      <c r="Q15" s="2"/>
      <c r="R15" s="654"/>
      <c r="S15" s="654">
        <v>5.3460000000000001</v>
      </c>
      <c r="T15" s="654"/>
      <c r="U15" s="654">
        <v>5.024</v>
      </c>
      <c r="V15" s="654">
        <v>10.709</v>
      </c>
      <c r="W15" s="654">
        <v>7.6989999999999998</v>
      </c>
      <c r="X15" s="236">
        <v>5.3559999999999999</v>
      </c>
      <c r="Z15" s="199"/>
      <c r="AA15" s="237"/>
      <c r="AB15" s="237"/>
      <c r="AC15" s="216"/>
      <c r="AF15" s="215"/>
      <c r="AG15" s="237"/>
      <c r="AH15" s="237"/>
      <c r="AJ15" s="10" t="s">
        <v>26</v>
      </c>
      <c r="AK15" s="56" t="str">
        <f t="shared" si="3"/>
        <v/>
      </c>
      <c r="AL15" s="56">
        <f t="shared" si="4"/>
        <v>0.67340067340067344</v>
      </c>
      <c r="AM15" s="56" t="str">
        <f t="shared" si="5"/>
        <v/>
      </c>
      <c r="AN15" s="56">
        <f t="shared" si="6"/>
        <v>0.71656050955414019</v>
      </c>
      <c r="AO15" s="56">
        <f t="shared" si="7"/>
        <v>0.33616584181529557</v>
      </c>
      <c r="AP15" s="56">
        <f t="shared" si="8"/>
        <v>0.46759319392128851</v>
      </c>
      <c r="AQ15" s="286">
        <f t="shared" si="9"/>
        <v>0.67216755544589046</v>
      </c>
    </row>
    <row r="16" spans="1:43" ht="15.6">
      <c r="A16" s="10" t="s">
        <v>27</v>
      </c>
      <c r="J16" s="211"/>
      <c r="K16" s="211">
        <v>57029</v>
      </c>
      <c r="L16" s="211">
        <v>567.54999999999995</v>
      </c>
      <c r="M16" s="211">
        <v>1424.47</v>
      </c>
      <c r="N16" s="211">
        <v>6228.24</v>
      </c>
      <c r="O16" s="211">
        <v>31.49</v>
      </c>
      <c r="P16" s="209">
        <f t="shared" si="12"/>
        <v>65280.75</v>
      </c>
      <c r="Q16" s="2"/>
      <c r="R16" s="654"/>
      <c r="S16" s="654">
        <v>6.1820000000000004</v>
      </c>
      <c r="T16" s="654">
        <v>8.1959999999999997</v>
      </c>
      <c r="U16" s="654">
        <v>6.7080000000000002</v>
      </c>
      <c r="V16" s="654">
        <v>6.1639999999999997</v>
      </c>
      <c r="W16" s="654">
        <v>7.55</v>
      </c>
      <c r="X16" s="236">
        <v>6.21</v>
      </c>
      <c r="Z16" s="199"/>
      <c r="AA16" s="237"/>
      <c r="AB16" s="237"/>
      <c r="AC16" s="216"/>
      <c r="AF16" s="215"/>
      <c r="AG16" s="237"/>
      <c r="AH16" s="237"/>
      <c r="AJ16" s="10" t="s">
        <v>27</v>
      </c>
      <c r="AK16" s="56" t="str">
        <f t="shared" si="3"/>
        <v/>
      </c>
      <c r="AL16" s="56">
        <f t="shared" si="4"/>
        <v>0.5823358136525395</v>
      </c>
      <c r="AM16" s="56">
        <f t="shared" si="5"/>
        <v>0.43923865300146409</v>
      </c>
      <c r="AN16" s="56">
        <f t="shared" si="6"/>
        <v>0.53667262969588558</v>
      </c>
      <c r="AO16" s="56">
        <f t="shared" si="7"/>
        <v>0.58403634003893579</v>
      </c>
      <c r="AP16" s="56">
        <f t="shared" si="8"/>
        <v>0.47682119205298013</v>
      </c>
      <c r="AQ16" s="286">
        <f t="shared" si="9"/>
        <v>0.57971668590753878</v>
      </c>
    </row>
    <row r="17" spans="1:43" ht="15.6">
      <c r="A17" s="10" t="s">
        <v>28</v>
      </c>
      <c r="J17" s="211"/>
      <c r="K17" s="211">
        <v>380</v>
      </c>
      <c r="L17" s="211"/>
      <c r="M17" s="211">
        <v>152.19999999999999</v>
      </c>
      <c r="N17" s="211">
        <v>636.35</v>
      </c>
      <c r="O17" s="211"/>
      <c r="P17" s="209">
        <f t="shared" si="12"/>
        <v>1168.5500000000002</v>
      </c>
      <c r="Q17" s="2"/>
      <c r="R17" s="654"/>
      <c r="S17" s="654">
        <v>4.79</v>
      </c>
      <c r="T17" s="654"/>
      <c r="U17" s="654">
        <v>4.9130000000000003</v>
      </c>
      <c r="V17" s="654">
        <v>6.7169999999999996</v>
      </c>
      <c r="W17" s="654"/>
      <c r="X17" s="236">
        <v>5.8550000000000004</v>
      </c>
      <c r="Z17" s="199"/>
      <c r="AA17" s="237"/>
      <c r="AB17" s="237"/>
      <c r="AC17" s="216"/>
      <c r="AF17" s="240"/>
      <c r="AG17" s="240"/>
      <c r="AH17" s="240"/>
      <c r="AJ17" s="10" t="s">
        <v>28</v>
      </c>
      <c r="AK17" s="56" t="str">
        <f t="shared" si="3"/>
        <v/>
      </c>
      <c r="AL17" s="56">
        <f t="shared" si="4"/>
        <v>0.75156576200417535</v>
      </c>
      <c r="AM17" s="56" t="str">
        <f t="shared" si="5"/>
        <v/>
      </c>
      <c r="AN17" s="56">
        <f t="shared" si="6"/>
        <v>0.73274984734378179</v>
      </c>
      <c r="AO17" s="56">
        <f t="shared" si="7"/>
        <v>0.53595355069227335</v>
      </c>
      <c r="AP17" s="56" t="str">
        <f t="shared" si="8"/>
        <v/>
      </c>
      <c r="AQ17" s="286">
        <f t="shared" si="9"/>
        <v>0.61481764182801391</v>
      </c>
    </row>
    <row r="18" spans="1:43" ht="15.6">
      <c r="A18" s="10" t="s">
        <v>29</v>
      </c>
      <c r="J18" s="211"/>
      <c r="K18" s="211">
        <v>977.5</v>
      </c>
      <c r="L18" s="211">
        <v>444.75</v>
      </c>
      <c r="M18" s="211">
        <v>174.25</v>
      </c>
      <c r="N18" s="211">
        <v>3807.25</v>
      </c>
      <c r="O18" s="211">
        <v>1.3</v>
      </c>
      <c r="P18" s="209">
        <f t="shared" si="12"/>
        <v>5405.05</v>
      </c>
      <c r="Q18" s="2"/>
      <c r="R18" s="654"/>
      <c r="S18" s="654">
        <v>9.01</v>
      </c>
      <c r="T18" s="654">
        <v>9.1270000000000007</v>
      </c>
      <c r="U18" s="654">
        <v>6.8289999999999997</v>
      </c>
      <c r="V18" s="654">
        <v>12.339</v>
      </c>
      <c r="W18" s="654">
        <v>10.956</v>
      </c>
      <c r="X18" s="236">
        <v>11.295</v>
      </c>
      <c r="AA18" s="470"/>
      <c r="AB18" s="388"/>
      <c r="AC18" s="451"/>
      <c r="AJ18" s="10" t="s">
        <v>29</v>
      </c>
      <c r="AK18" s="56" t="str">
        <f t="shared" si="3"/>
        <v/>
      </c>
      <c r="AL18" s="56">
        <f t="shared" si="4"/>
        <v>0.3995560488346282</v>
      </c>
      <c r="AM18" s="56">
        <f t="shared" si="5"/>
        <v>0.3944340966363537</v>
      </c>
      <c r="AN18" s="56">
        <f t="shared" si="6"/>
        <v>0.52716356714013768</v>
      </c>
      <c r="AO18" s="56">
        <f t="shared" si="7"/>
        <v>0.29175784099197666</v>
      </c>
      <c r="AP18" s="56">
        <f t="shared" si="8"/>
        <v>0.32858707557502742</v>
      </c>
      <c r="AQ18" s="286">
        <f t="shared" si="9"/>
        <v>0.31873385864248593</v>
      </c>
    </row>
    <row r="19" spans="1:43" ht="15.6">
      <c r="A19" s="10" t="s">
        <v>389</v>
      </c>
      <c r="J19" s="211"/>
      <c r="K19" s="211">
        <v>0.1</v>
      </c>
      <c r="L19" s="211"/>
      <c r="M19" s="211"/>
      <c r="N19" s="211"/>
      <c r="O19" s="211"/>
      <c r="P19" s="209">
        <f t="shared" si="12"/>
        <v>0.1</v>
      </c>
      <c r="Q19" s="2"/>
      <c r="R19" s="654"/>
      <c r="S19" s="654">
        <v>6.3849999999999998</v>
      </c>
      <c r="T19" s="654"/>
      <c r="U19" s="654"/>
      <c r="V19" s="654"/>
      <c r="W19" s="654"/>
      <c r="X19" s="236">
        <v>6.3849999999999998</v>
      </c>
      <c r="Z19" s="199"/>
      <c r="AA19" s="237"/>
      <c r="AB19" s="237"/>
      <c r="AC19" s="216"/>
      <c r="AF19" s="237"/>
      <c r="AG19" s="237"/>
      <c r="AH19" s="237"/>
      <c r="AJ19" s="10" t="s">
        <v>389</v>
      </c>
      <c r="AK19" s="56" t="str">
        <f t="shared" si="3"/>
        <v/>
      </c>
      <c r="AL19" s="56">
        <f t="shared" si="4"/>
        <v>0.5638214565387627</v>
      </c>
      <c r="AM19" s="56" t="str">
        <f t="shared" si="5"/>
        <v/>
      </c>
      <c r="AN19" s="56" t="str">
        <f t="shared" si="6"/>
        <v/>
      </c>
      <c r="AO19" s="56" t="str">
        <f t="shared" si="7"/>
        <v/>
      </c>
      <c r="AP19" s="56" t="str">
        <f t="shared" si="8"/>
        <v/>
      </c>
      <c r="AQ19" s="286">
        <f t="shared" si="9"/>
        <v>0.5638214565387627</v>
      </c>
    </row>
    <row r="20" spans="1:43" ht="15.6">
      <c r="A20" s="11" t="s">
        <v>10</v>
      </c>
      <c r="J20" s="209">
        <f t="shared" ref="J20:O20" si="13">J6+J13</f>
        <v>13219.9</v>
      </c>
      <c r="K20" s="209">
        <f t="shared" si="13"/>
        <v>118986.5</v>
      </c>
      <c r="L20" s="209">
        <f t="shared" si="13"/>
        <v>1181.3499999999999</v>
      </c>
      <c r="M20" s="209">
        <f t="shared" si="13"/>
        <v>3622.4</v>
      </c>
      <c r="N20" s="209">
        <f t="shared" si="13"/>
        <v>17455.490000000002</v>
      </c>
      <c r="O20" s="209">
        <f t="shared" si="13"/>
        <v>7508.6100000000006</v>
      </c>
      <c r="P20" s="209">
        <f>P6+P13</f>
        <v>161974.25</v>
      </c>
      <c r="Q20" s="2"/>
      <c r="R20" s="236">
        <v>9.82</v>
      </c>
      <c r="S20" s="236">
        <v>6.2809999999999997</v>
      </c>
      <c r="T20" s="236">
        <v>8.4</v>
      </c>
      <c r="U20" s="236">
        <v>7.9770000000000003</v>
      </c>
      <c r="V20" s="236">
        <v>9.484</v>
      </c>
      <c r="W20" s="236">
        <v>8.1530000000000005</v>
      </c>
      <c r="X20" s="236">
        <v>7.0549999999999997</v>
      </c>
      <c r="Z20" s="199"/>
      <c r="AA20" s="237"/>
      <c r="AB20" s="237"/>
      <c r="AC20" s="216"/>
      <c r="AF20" s="237"/>
      <c r="AG20" s="237"/>
      <c r="AH20" s="237"/>
      <c r="AJ20" s="11" t="s">
        <v>10</v>
      </c>
      <c r="AK20" s="286">
        <f t="shared" si="3"/>
        <v>0.36659877800407331</v>
      </c>
      <c r="AL20" s="286">
        <f t="shared" si="4"/>
        <v>0.57315997174005562</v>
      </c>
      <c r="AM20" s="286">
        <f t="shared" si="5"/>
        <v>0.42858017436521456</v>
      </c>
      <c r="AN20" s="286">
        <f t="shared" si="6"/>
        <v>0.45128362715500031</v>
      </c>
      <c r="AO20" s="286">
        <f t="shared" si="7"/>
        <v>0.37957541509161646</v>
      </c>
      <c r="AP20" s="286">
        <f t="shared" si="8"/>
        <v>0.44156185221808164</v>
      </c>
      <c r="AQ20" s="286">
        <f t="shared" si="9"/>
        <v>0.51026252685876294</v>
      </c>
    </row>
    <row r="21" spans="1:43">
      <c r="J21" s="177">
        <f t="shared" ref="J21:P21" si="14">J13/11.63</f>
        <v>0</v>
      </c>
      <c r="K21" s="177">
        <f t="shared" si="14"/>
        <v>6534.0584694754943</v>
      </c>
      <c r="L21" s="177">
        <f t="shared" si="14"/>
        <v>100.08168529664658</v>
      </c>
      <c r="M21" s="177">
        <f t="shared" si="14"/>
        <v>169.35683576956148</v>
      </c>
      <c r="N21" s="177">
        <f t="shared" si="14"/>
        <v>1011.8693035253655</v>
      </c>
      <c r="O21" s="177">
        <f t="shared" si="14"/>
        <v>465.30868443680134</v>
      </c>
      <c r="P21" s="177">
        <f t="shared" si="14"/>
        <v>8280.6749785038701</v>
      </c>
      <c r="Z21" s="199"/>
      <c r="AA21" s="237"/>
      <c r="AB21" s="237"/>
      <c r="AC21" s="216"/>
      <c r="AF21" s="237"/>
      <c r="AG21" s="237"/>
      <c r="AH21" s="237"/>
    </row>
    <row r="22" spans="1:43">
      <c r="J22" s="56"/>
      <c r="K22" s="56">
        <f>SUM(K13:M13)/SUM(K20:M20)</f>
        <v>0.63918337671989511</v>
      </c>
      <c r="L22" s="56"/>
      <c r="M22" s="56"/>
      <c r="N22" s="56">
        <f>N13/N20</f>
        <v>0.67417414234719275</v>
      </c>
      <c r="O22" s="56">
        <f>O13/O20</f>
        <v>0.7207112901056254</v>
      </c>
      <c r="Z22" s="199"/>
      <c r="AA22" s="237"/>
      <c r="AB22" s="237"/>
      <c r="AC22" s="216"/>
      <c r="AF22" s="237"/>
      <c r="AG22" s="237"/>
      <c r="AH22" s="237"/>
      <c r="AJ22" s="68"/>
    </row>
    <row r="23" spans="1:43">
      <c r="A23" s="68" t="str">
        <f>A4</f>
        <v>Dati 2023 lorda</v>
      </c>
      <c r="J23" s="68"/>
      <c r="K23" s="56">
        <f>(SUM(K32:M32)/41.868)/SUM(K57:M57)</f>
        <v>0.75232126428715285</v>
      </c>
      <c r="L23" s="56"/>
      <c r="M23" s="56"/>
      <c r="N23" s="56">
        <f>(N32/41.868)/N57</f>
        <v>0.73381518296384651</v>
      </c>
      <c r="O23" s="56">
        <f>(O32/41.868)/O57</f>
        <v>0.76543112330177665</v>
      </c>
      <c r="Z23" s="199"/>
      <c r="AA23" s="237"/>
      <c r="AB23" s="237"/>
      <c r="AC23" s="216"/>
      <c r="AF23" s="237"/>
      <c r="AG23" s="237"/>
      <c r="AH23" s="237"/>
      <c r="AJ23" s="68"/>
    </row>
    <row r="24" spans="1:43">
      <c r="A24" s="68" t="s">
        <v>584</v>
      </c>
      <c r="J24" s="210" t="s">
        <v>5</v>
      </c>
      <c r="K24" s="210" t="s">
        <v>210</v>
      </c>
      <c r="L24" s="210" t="s">
        <v>211</v>
      </c>
      <c r="M24" s="210" t="s">
        <v>214</v>
      </c>
      <c r="N24" s="210" t="s">
        <v>216</v>
      </c>
      <c r="O24" s="210" t="s">
        <v>215</v>
      </c>
      <c r="P24" s="210" t="s">
        <v>213</v>
      </c>
      <c r="R24" s="68" t="s">
        <v>234</v>
      </c>
      <c r="Z24" s="199"/>
      <c r="AA24" s="237"/>
      <c r="AB24" s="237"/>
      <c r="AC24" s="216"/>
      <c r="AF24" s="237"/>
      <c r="AG24" s="237"/>
      <c r="AH24" s="237"/>
      <c r="AJ24" s="68"/>
    </row>
    <row r="25" spans="1:43">
      <c r="A25" s="11" t="s">
        <v>17</v>
      </c>
      <c r="J25" s="209">
        <f t="shared" ref="J25:O25" si="15">SUM(J26:J30)</f>
        <v>129819.41800000001</v>
      </c>
      <c r="K25" s="209">
        <f t="shared" si="15"/>
        <v>286642.75770000002</v>
      </c>
      <c r="L25" s="209">
        <f t="shared" si="15"/>
        <v>163.90799999999999</v>
      </c>
      <c r="M25" s="209">
        <f t="shared" si="15"/>
        <v>16296.858010000002</v>
      </c>
      <c r="N25" s="209">
        <f t="shared" si="15"/>
        <v>67336.294609999997</v>
      </c>
      <c r="O25" s="209">
        <f t="shared" si="15"/>
        <v>20778.50765</v>
      </c>
      <c r="P25" s="212">
        <f t="shared" ref="P25:P30" si="16">SUM(J25:O25)</f>
        <v>521037.74397000001</v>
      </c>
      <c r="Q25" s="202"/>
      <c r="R25" s="209">
        <f t="shared" ref="R25:W25" si="17">SUM(R26:R30)</f>
        <v>12.124241789987698</v>
      </c>
      <c r="S25" s="209">
        <f t="shared" si="17"/>
        <v>16.965233801312738</v>
      </c>
      <c r="T25" s="209">
        <f t="shared" si="17"/>
        <v>2.6610775048117642E-2</v>
      </c>
      <c r="U25" s="209">
        <f t="shared" si="17"/>
        <v>1.1329159309757932</v>
      </c>
      <c r="V25" s="209">
        <f t="shared" si="17"/>
        <v>3.0300776461696337</v>
      </c>
      <c r="W25" s="209">
        <f t="shared" si="17"/>
        <v>6.9036461624657E-3</v>
      </c>
      <c r="X25" s="220">
        <f>SUM(R25:W25)</f>
        <v>33.285983589656446</v>
      </c>
      <c r="Z25" s="199"/>
      <c r="AA25" s="235"/>
      <c r="AB25" s="620"/>
      <c r="AC25" s="223"/>
      <c r="AJ25" s="68"/>
    </row>
    <row r="26" spans="1:43">
      <c r="A26" s="10" t="s">
        <v>18</v>
      </c>
      <c r="J26" s="197">
        <f t="shared" ref="J26:J30" si="18">IFERROR(J7*R7,"")</f>
        <v>0</v>
      </c>
      <c r="K26" s="197">
        <f t="shared" ref="K26:K30" si="19">IFERROR(K7*S7,"")</f>
        <v>3603.2875999999997</v>
      </c>
      <c r="L26" s="197">
        <f t="shared" ref="L26:L30" si="20">IFERROR(L7*T7,"")</f>
        <v>163.90799999999999</v>
      </c>
      <c r="M26" s="197">
        <f t="shared" ref="M26:M30" si="21">IFERROR(M7*U7,"")</f>
        <v>1846.3594600000001</v>
      </c>
      <c r="N26" s="197">
        <f t="shared" ref="N26:N30" si="22">IFERROR(N7*V7,"")</f>
        <v>5476.5044399999997</v>
      </c>
      <c r="O26" s="197">
        <f t="shared" ref="O26:O30" si="23">IFERROR(O7*W7,"")</f>
        <v>20262.813280000002</v>
      </c>
      <c r="P26" s="212">
        <f t="shared" si="16"/>
        <v>31352.872780000002</v>
      </c>
      <c r="Q26" s="202"/>
      <c r="R26" s="211">
        <f t="shared" ref="R26" si="24">J26*J42/1000000</f>
        <v>0</v>
      </c>
      <c r="S26" s="211">
        <f t="shared" ref="S26" si="25">K26*K42/1000000</f>
        <v>0.21326412387976773</v>
      </c>
      <c r="T26" s="211">
        <f t="shared" ref="T26" si="26">L26*L42/1000000</f>
        <v>2.6610775048117642E-2</v>
      </c>
      <c r="U26" s="211">
        <f t="shared" ref="U26" si="27">M26*M42/1000000</f>
        <v>0.1283541922779422</v>
      </c>
      <c r="V26" s="211">
        <f t="shared" ref="V26" si="28">N26*N42/1000000</f>
        <v>0.24643817689856021</v>
      </c>
      <c r="W26" s="211">
        <f t="shared" ref="W26" si="29">O26*O42/1000000</f>
        <v>6.7323070307809619E-3</v>
      </c>
      <c r="X26" s="220">
        <f t="shared" ref="X26:X38" si="30">SUM(R26:W26)</f>
        <v>0.62139957513516875</v>
      </c>
      <c r="Z26" s="199"/>
      <c r="AA26" s="470"/>
      <c r="AB26" s="388"/>
      <c r="AC26" s="451"/>
      <c r="AJ26" s="68"/>
      <c r="AQ26" s="282"/>
    </row>
    <row r="27" spans="1:43">
      <c r="A27" s="10" t="s">
        <v>19</v>
      </c>
      <c r="J27" s="197">
        <f t="shared" si="18"/>
        <v>0</v>
      </c>
      <c r="K27" s="197">
        <f t="shared" si="19"/>
        <v>2234.8053</v>
      </c>
      <c r="L27" s="197">
        <f t="shared" si="20"/>
        <v>0</v>
      </c>
      <c r="M27" s="197">
        <f t="shared" si="21"/>
        <v>65.328310000000002</v>
      </c>
      <c r="N27" s="197">
        <f t="shared" si="22"/>
        <v>59.521280000000004</v>
      </c>
      <c r="O27" s="197">
        <f t="shared" si="23"/>
        <v>394.16737000000001</v>
      </c>
      <c r="P27" s="212">
        <f t="shared" si="16"/>
        <v>2753.8222599999999</v>
      </c>
      <c r="Q27" s="202"/>
      <c r="R27" s="211">
        <f t="shared" ref="R27" si="31">J27*J42/1000000</f>
        <v>0</v>
      </c>
      <c r="S27" s="211">
        <f t="shared" ref="S27" si="32">K27*K42/1000000</f>
        <v>0.13226915174530099</v>
      </c>
      <c r="T27" s="211">
        <f t="shared" ref="T27" si="33">L27*L42/1000000</f>
        <v>0</v>
      </c>
      <c r="U27" s="211">
        <f t="shared" ref="U27" si="34">M27*M42/1000000</f>
        <v>4.5414571997443092E-3</v>
      </c>
      <c r="V27" s="211">
        <f t="shared" ref="V27" si="35">N27*N42/1000000</f>
        <v>2.6784084429353145E-3</v>
      </c>
      <c r="W27" s="211">
        <f t="shared" ref="W27" si="36">O27*O42/1000000</f>
        <v>1.3096186199251404E-4</v>
      </c>
      <c r="X27" s="220">
        <f t="shared" si="30"/>
        <v>0.13961997924997313</v>
      </c>
      <c r="Z27" s="199"/>
      <c r="AA27" s="237"/>
      <c r="AB27" s="237"/>
      <c r="AC27" s="216"/>
      <c r="AF27" s="237"/>
      <c r="AG27" s="237"/>
      <c r="AH27" s="237"/>
      <c r="AJ27" s="68" t="s">
        <v>289</v>
      </c>
    </row>
    <row r="28" spans="1:43">
      <c r="A28" s="10" t="s">
        <v>20</v>
      </c>
      <c r="J28" s="197">
        <f t="shared" si="18"/>
        <v>129819.41800000001</v>
      </c>
      <c r="K28" s="197">
        <f t="shared" si="19"/>
        <v>6295.3308000000006</v>
      </c>
      <c r="L28" s="197">
        <f t="shared" si="20"/>
        <v>0</v>
      </c>
      <c r="M28" s="197">
        <f t="shared" si="21"/>
        <v>14375.684960000001</v>
      </c>
      <c r="N28" s="197">
        <f t="shared" si="22"/>
        <v>50102.855040000002</v>
      </c>
      <c r="O28" s="197">
        <f t="shared" si="23"/>
        <v>76.51700000000001</v>
      </c>
      <c r="P28" s="212">
        <f t="shared" si="16"/>
        <v>200669.8058</v>
      </c>
      <c r="Q28" s="202"/>
      <c r="R28" s="211">
        <f t="shared" ref="R28" si="37">J28*J42/1000000</f>
        <v>12.124241789987698</v>
      </c>
      <c r="S28" s="211">
        <f t="shared" ref="S28" si="38">K28*K42/1000000</f>
        <v>0.37259535086661344</v>
      </c>
      <c r="T28" s="211">
        <f t="shared" ref="T28" si="39">L28*L42/1000000</f>
        <v>0</v>
      </c>
      <c r="U28" s="211">
        <f t="shared" ref="U28" si="40">M28*M42/1000000</f>
        <v>0.99936088906705189</v>
      </c>
      <c r="V28" s="211">
        <f t="shared" ref="V28" si="41">N28*N42/1000000</f>
        <v>2.2545870981655662</v>
      </c>
      <c r="W28" s="211">
        <f t="shared" ref="W28" si="42">O28*O42/1000000</f>
        <v>2.542272536177005E-5</v>
      </c>
      <c r="X28" s="220">
        <f t="shared" si="30"/>
        <v>15.75081055081229</v>
      </c>
      <c r="Z28" s="199"/>
      <c r="AA28" s="237"/>
      <c r="AB28" s="237"/>
      <c r="AC28" s="216"/>
      <c r="AF28" s="237"/>
      <c r="AG28" s="237"/>
      <c r="AH28" s="237"/>
    </row>
    <row r="29" spans="1:43">
      <c r="A29" s="10" t="s">
        <v>21</v>
      </c>
      <c r="J29" s="197">
        <f t="shared" si="18"/>
        <v>0</v>
      </c>
      <c r="K29" s="197">
        <f t="shared" si="19"/>
        <v>274509.33400000003</v>
      </c>
      <c r="L29" s="197">
        <f t="shared" si="20"/>
        <v>0</v>
      </c>
      <c r="M29" s="197">
        <f t="shared" si="21"/>
        <v>9.4852799999999995</v>
      </c>
      <c r="N29" s="197">
        <f t="shared" si="22"/>
        <v>11697.413850000001</v>
      </c>
      <c r="O29" s="197">
        <f t="shared" si="23"/>
        <v>45.010000000000005</v>
      </c>
      <c r="P29" s="212">
        <f t="shared" si="16"/>
        <v>286261.24313000008</v>
      </c>
      <c r="Q29" s="202"/>
      <c r="R29" s="211">
        <f t="shared" ref="R29" si="43">J29*J42/1000000</f>
        <v>0</v>
      </c>
      <c r="S29" s="211">
        <f t="shared" ref="S29" si="44">K29*K42/1000000</f>
        <v>16.247105174821055</v>
      </c>
      <c r="T29" s="211">
        <f t="shared" ref="T29" si="45">L29*L42/1000000</f>
        <v>0</v>
      </c>
      <c r="U29" s="211">
        <f t="shared" ref="U29" si="46">M29*M42/1000000</f>
        <v>6.5939243105463303E-4</v>
      </c>
      <c r="V29" s="211">
        <f t="shared" ref="V29" si="47">N29*N42/1000000</f>
        <v>0.52637396266257186</v>
      </c>
      <c r="W29" s="211">
        <f t="shared" ref="W29" si="48">O29*O42/1000000</f>
        <v>1.4954544330452968E-5</v>
      </c>
      <c r="X29" s="220">
        <f t="shared" si="30"/>
        <v>16.77415348445901</v>
      </c>
      <c r="Z29" s="199"/>
      <c r="AA29" s="237"/>
      <c r="AB29" s="237"/>
      <c r="AC29" s="216"/>
      <c r="AF29" s="237"/>
      <c r="AG29" s="237"/>
      <c r="AH29" s="237"/>
      <c r="AJ29" s="11" t="s">
        <v>24</v>
      </c>
      <c r="AK29" s="286" t="str">
        <f t="shared" ref="AK29:AK35" si="49">IFERROR(((J13/11.63)+J50)/J57,"")</f>
        <v/>
      </c>
      <c r="AL29" s="286">
        <f t="shared" ref="AL29:AL34" si="50">IFERROR(((K13/11.63)+K50)/K57,"")</f>
        <v>0.66212192603617082</v>
      </c>
      <c r="AM29" s="286">
        <f t="shared" ref="AM29:AM35" si="51">IFERROR(((L13/11.63)+L50)/L57,"")</f>
        <v>0.51518054943547886</v>
      </c>
      <c r="AN29" s="286">
        <f t="shared" ref="AN29:AN35" si="52">IFERROR(((M13/11.63)+M50)/M57,"")</f>
        <v>0.76827797885207627</v>
      </c>
      <c r="AO29" s="286">
        <f t="shared" ref="AO29:AO35" si="53">IFERROR(((N13/11.63)+N50)/N57,"")</f>
        <v>0.54096121060248914</v>
      </c>
      <c r="AP29" s="286">
        <f t="shared" ref="AP29:AP35" si="54">IFERROR(((O13/11.63)+O50)/O57,"")</f>
        <v>0.57797103023334295</v>
      </c>
      <c r="AQ29" s="286">
        <f t="shared" ref="AQ29:AQ35" si="55">IFERROR(((P13/11.63)+P50)/P57,"")</f>
        <v>0.63927457081520378</v>
      </c>
    </row>
    <row r="30" spans="1:43">
      <c r="A30" s="10" t="s">
        <v>23</v>
      </c>
      <c r="J30" s="197">
        <f t="shared" si="18"/>
        <v>0</v>
      </c>
      <c r="K30" s="197">
        <f t="shared" si="19"/>
        <v>0</v>
      </c>
      <c r="L30" s="197">
        <f t="shared" si="20"/>
        <v>0</v>
      </c>
      <c r="M30" s="197">
        <f t="shared" si="21"/>
        <v>0</v>
      </c>
      <c r="N30" s="197">
        <f t="shared" si="22"/>
        <v>0</v>
      </c>
      <c r="O30" s="197">
        <f t="shared" si="23"/>
        <v>0</v>
      </c>
      <c r="P30" s="212">
        <f t="shared" si="16"/>
        <v>0</v>
      </c>
      <c r="Q30" s="202"/>
      <c r="R30" s="211">
        <f t="shared" ref="R30" si="56">J30*J42/1000000</f>
        <v>0</v>
      </c>
      <c r="S30" s="211">
        <f t="shared" ref="S30" si="57">K30*K42/1000000</f>
        <v>0</v>
      </c>
      <c r="T30" s="211">
        <f t="shared" ref="T30" si="58">L30*L42/1000000</f>
        <v>0</v>
      </c>
      <c r="U30" s="211">
        <f t="shared" ref="U30" si="59">M30*M42/1000000</f>
        <v>0</v>
      </c>
      <c r="V30" s="211">
        <f t="shared" ref="V30" si="60">N30*N42/1000000</f>
        <v>0</v>
      </c>
      <c r="W30" s="211">
        <f t="shared" ref="W30" si="61">O30*O42/1000000</f>
        <v>0</v>
      </c>
      <c r="X30" s="220">
        <f t="shared" si="30"/>
        <v>0</v>
      </c>
      <c r="Z30" s="199"/>
      <c r="AA30" s="237"/>
      <c r="AB30" s="237"/>
      <c r="AC30" s="216"/>
      <c r="AF30" s="237"/>
      <c r="AG30" s="237"/>
      <c r="AH30" s="237"/>
      <c r="AJ30" s="10" t="s">
        <v>25</v>
      </c>
      <c r="AK30" s="56" t="str">
        <f t="shared" si="49"/>
        <v/>
      </c>
      <c r="AL30" s="56">
        <f t="shared" si="50"/>
        <v>0.72822315817487626</v>
      </c>
      <c r="AM30" s="56">
        <f t="shared" si="51"/>
        <v>0.62647631476441135</v>
      </c>
      <c r="AN30" s="56">
        <f t="shared" si="52"/>
        <v>0.75666380059092686</v>
      </c>
      <c r="AO30" s="56">
        <f t="shared" si="53"/>
        <v>0.64286869705660388</v>
      </c>
      <c r="AP30" s="56">
        <f t="shared" si="54"/>
        <v>0.57784333562917334</v>
      </c>
      <c r="AQ30" s="286">
        <f t="shared" si="55"/>
        <v>0.6750815071753854</v>
      </c>
    </row>
    <row r="31" spans="1:43">
      <c r="A31" s="10" t="s">
        <v>387</v>
      </c>
      <c r="J31" s="197"/>
      <c r="K31" s="197"/>
      <c r="L31" s="197"/>
      <c r="M31" s="197"/>
      <c r="N31" s="197"/>
      <c r="O31" s="197"/>
      <c r="P31" s="212"/>
      <c r="Q31" s="202"/>
      <c r="R31" s="211">
        <f t="shared" ref="R31" si="62">J31*J42/1000000</f>
        <v>0</v>
      </c>
      <c r="S31" s="211">
        <f t="shared" ref="S31" si="63">K31*K42/1000000</f>
        <v>0</v>
      </c>
      <c r="T31" s="211">
        <f t="shared" ref="T31" si="64">L31*L42/1000000</f>
        <v>0</v>
      </c>
      <c r="U31" s="211">
        <f t="shared" ref="U31" si="65">M31*M42/1000000</f>
        <v>0</v>
      </c>
      <c r="V31" s="211">
        <f t="shared" ref="V31" si="66">N31*N42/1000000</f>
        <v>0</v>
      </c>
      <c r="W31" s="211">
        <f t="shared" ref="W31" si="67">O31*O42/1000000</f>
        <v>0</v>
      </c>
      <c r="X31" s="220">
        <f t="shared" si="30"/>
        <v>0</v>
      </c>
      <c r="Z31" s="199"/>
      <c r="AA31" s="237"/>
      <c r="AB31" s="451"/>
      <c r="AC31" s="216"/>
      <c r="AJ31" s="10" t="s">
        <v>26</v>
      </c>
      <c r="AK31" s="56" t="str">
        <f t="shared" si="49"/>
        <v/>
      </c>
      <c r="AL31" s="56">
        <f t="shared" si="50"/>
        <v>0.79210148439845374</v>
      </c>
      <c r="AM31" s="56" t="str">
        <f t="shared" si="51"/>
        <v/>
      </c>
      <c r="AN31" s="56">
        <f t="shared" si="52"/>
        <v>0.83752652656460658</v>
      </c>
      <c r="AO31" s="56">
        <f t="shared" si="53"/>
        <v>0.60063771861391524</v>
      </c>
      <c r="AP31" s="56">
        <f t="shared" si="54"/>
        <v>0.6577448538540468</v>
      </c>
      <c r="AQ31" s="286">
        <f t="shared" si="55"/>
        <v>0.79291992433344138</v>
      </c>
    </row>
    <row r="32" spans="1:43">
      <c r="A32" s="11" t="s">
        <v>24</v>
      </c>
      <c r="J32" s="209">
        <f t="shared" ref="J32:O32" si="68">SUM(J33:J37)</f>
        <v>0</v>
      </c>
      <c r="K32" s="209">
        <f t="shared" si="68"/>
        <v>460707.75720000011</v>
      </c>
      <c r="L32" s="209">
        <f t="shared" si="68"/>
        <v>9759.2295000000013</v>
      </c>
      <c r="M32" s="209">
        <f t="shared" si="68"/>
        <v>12599.91381</v>
      </c>
      <c r="N32" s="209">
        <f t="shared" si="68"/>
        <v>98216.48225999999</v>
      </c>
      <c r="O32" s="209">
        <f t="shared" si="68"/>
        <v>40438.275150000001</v>
      </c>
      <c r="P32" s="298">
        <f t="shared" ref="P32:P37" si="69">SUM(J32:O32)</f>
        <v>621721.65792000014</v>
      </c>
      <c r="Q32" s="202"/>
      <c r="R32" s="209">
        <f t="shared" ref="R32:W32" si="70">SUM(R33:R37)</f>
        <v>0</v>
      </c>
      <c r="S32" s="209">
        <f t="shared" si="70"/>
        <v>27.267442155844225</v>
      </c>
      <c r="T32" s="209">
        <f t="shared" si="70"/>
        <v>1.5844294413174076</v>
      </c>
      <c r="U32" s="209">
        <f t="shared" si="70"/>
        <v>0.87591381574974536</v>
      </c>
      <c r="V32" s="209">
        <f t="shared" si="70"/>
        <v>4.4196605872822365</v>
      </c>
      <c r="W32" s="209">
        <f t="shared" si="70"/>
        <v>1.3435591610258377E-2</v>
      </c>
      <c r="X32" s="220">
        <f t="shared" si="30"/>
        <v>34.160881591803872</v>
      </c>
      <c r="Z32" s="199"/>
      <c r="AA32" s="237"/>
      <c r="AB32" s="451"/>
      <c r="AC32" s="216"/>
      <c r="AJ32" s="10" t="s">
        <v>27</v>
      </c>
      <c r="AK32" s="56" t="str">
        <f t="shared" si="49"/>
        <v/>
      </c>
      <c r="AL32" s="56">
        <f t="shared" si="50"/>
        <v>0.62815807991351669</v>
      </c>
      <c r="AM32" s="56">
        <f t="shared" si="51"/>
        <v>0.52613113583947968</v>
      </c>
      <c r="AN32" s="56">
        <f t="shared" si="52"/>
        <v>0.72412529630849132</v>
      </c>
      <c r="AO32" s="56">
        <f t="shared" si="53"/>
        <v>0.63500054128287664</v>
      </c>
      <c r="AP32" s="56">
        <f t="shared" si="54"/>
        <v>0.58114072803839256</v>
      </c>
      <c r="AQ32" s="286">
        <f t="shared" si="55"/>
        <v>0.63156310740369481</v>
      </c>
    </row>
    <row r="33" spans="1:43">
      <c r="A33" s="10" t="s">
        <v>25</v>
      </c>
      <c r="J33" s="197">
        <f t="shared" ref="J33:J38" si="71">IFERROR(J14*R14,"")</f>
        <v>0</v>
      </c>
      <c r="K33" s="197">
        <f t="shared" ref="K33:K38" si="72">IFERROR(K14*S14,"")</f>
        <v>69528.398400000005</v>
      </c>
      <c r="L33" s="197">
        <f t="shared" ref="L33:L38" si="73">IFERROR(L14*T14,"")</f>
        <v>1048.35645</v>
      </c>
      <c r="M33" s="197">
        <f t="shared" ref="M33:M38" si="74">IFERROR(M14*U14,"")</f>
        <v>51.8172</v>
      </c>
      <c r="N33" s="197">
        <f t="shared" ref="N33:N38" si="75">IFERROR(N14*V14,"")</f>
        <v>8365.1930599999996</v>
      </c>
      <c r="O33" s="211">
        <f t="shared" ref="O33:O38" si="76">IFERROR(O14*W14,"")</f>
        <v>40130.850050000001</v>
      </c>
      <c r="P33" s="212">
        <f t="shared" si="69"/>
        <v>119124.61516000002</v>
      </c>
      <c r="Q33" s="202"/>
      <c r="R33" s="211">
        <f t="shared" ref="R33" si="77">J33*J42/1000000</f>
        <v>0</v>
      </c>
      <c r="S33" s="211">
        <f t="shared" ref="S33" si="78">K33*K42/1000000</f>
        <v>4.1151067068694287</v>
      </c>
      <c r="T33" s="211">
        <f t="shared" ref="T33" si="79">L33*L42/1000000</f>
        <v>0.17020266040213528</v>
      </c>
      <c r="U33" s="211">
        <f t="shared" ref="U33" si="80">M33*M42/1000000</f>
        <v>3.6021993529388834E-3</v>
      </c>
      <c r="V33" s="211">
        <f t="shared" ref="V33" si="81">N33*N42/1000000</f>
        <v>0.37642677910636152</v>
      </c>
      <c r="W33" s="211">
        <f t="shared" ref="W33" si="82">O33*O42/1000000</f>
        <v>1.3333449813185639E-2</v>
      </c>
      <c r="X33" s="220">
        <f t="shared" si="30"/>
        <v>4.6786717955440498</v>
      </c>
      <c r="Z33" s="199"/>
      <c r="AA33" s="237"/>
      <c r="AB33" s="451"/>
      <c r="AC33" s="216"/>
      <c r="AJ33" s="10" t="s">
        <v>28</v>
      </c>
      <c r="AK33" s="56" t="str">
        <f t="shared" si="49"/>
        <v/>
      </c>
      <c r="AL33" s="56">
        <f t="shared" si="50"/>
        <v>0.83979768631497576</v>
      </c>
      <c r="AM33" s="56" t="str">
        <f t="shared" si="51"/>
        <v/>
      </c>
      <c r="AN33" s="56">
        <f t="shared" si="52"/>
        <v>0.87341201673028412</v>
      </c>
      <c r="AO33" s="56">
        <f t="shared" si="53"/>
        <v>0.7044793743739185</v>
      </c>
      <c r="AP33" s="56" t="str">
        <f t="shared" si="54"/>
        <v/>
      </c>
      <c r="AQ33" s="286">
        <f t="shared" si="55"/>
        <v>0.7878020997228149</v>
      </c>
    </row>
    <row r="34" spans="1:43">
      <c r="A34" s="10" t="s">
        <v>26</v>
      </c>
      <c r="J34" s="197">
        <f t="shared" si="71"/>
        <v>0</v>
      </c>
      <c r="K34" s="197">
        <f t="shared" si="72"/>
        <v>27998.605800000001</v>
      </c>
      <c r="L34" s="197">
        <f t="shared" si="73"/>
        <v>0</v>
      </c>
      <c r="M34" s="197">
        <f t="shared" si="74"/>
        <v>1055.04</v>
      </c>
      <c r="N34" s="197">
        <f t="shared" si="75"/>
        <v>208.39714000000001</v>
      </c>
      <c r="O34" s="197">
        <f t="shared" si="76"/>
        <v>55.4328</v>
      </c>
      <c r="P34" s="212">
        <f t="shared" si="69"/>
        <v>29317.475740000002</v>
      </c>
      <c r="Q34" s="202"/>
      <c r="R34" s="211">
        <f t="shared" ref="R34" si="83">J34*J42/1000000</f>
        <v>0</v>
      </c>
      <c r="S34" s="211">
        <f t="shared" ref="S34" si="84">K34*K42/1000000</f>
        <v>1.6571250476348276</v>
      </c>
      <c r="T34" s="211">
        <f t="shared" ref="T34" si="85">L34*L42/1000000</f>
        <v>0</v>
      </c>
      <c r="U34" s="211">
        <f t="shared" ref="U34" si="86">M34*M42/1000000</f>
        <v>7.3343685211177748E-2</v>
      </c>
      <c r="V34" s="211">
        <f t="shared" ref="V34" si="87">N34*N42/1000000</f>
        <v>9.3776991902656103E-3</v>
      </c>
      <c r="W34" s="211">
        <f t="shared" ref="W34" si="88">O34*O42/1000000</f>
        <v>1.8417513107334663E-5</v>
      </c>
      <c r="X34" s="220">
        <f t="shared" si="30"/>
        <v>1.7398648495493783</v>
      </c>
      <c r="Z34" s="199"/>
      <c r="AA34" s="237"/>
      <c r="AB34" s="237"/>
      <c r="AC34" s="216"/>
      <c r="AJ34" s="10" t="s">
        <v>29</v>
      </c>
      <c r="AK34" s="56" t="str">
        <f t="shared" si="49"/>
        <v/>
      </c>
      <c r="AL34" s="56">
        <f t="shared" si="50"/>
        <v>0.49643956023841629</v>
      </c>
      <c r="AM34" s="56">
        <f t="shared" si="51"/>
        <v>0.46779674898755175</v>
      </c>
      <c r="AN34" s="56">
        <f t="shared" si="52"/>
        <v>0.80626560229342847</v>
      </c>
      <c r="AO34" s="56">
        <f t="shared" si="53"/>
        <v>0.41718777160939491</v>
      </c>
      <c r="AP34" s="56">
        <f t="shared" si="54"/>
        <v>0.4514187446541702</v>
      </c>
      <c r="AQ34" s="286">
        <f t="shared" si="55"/>
        <v>0.45354771914976677</v>
      </c>
    </row>
    <row r="35" spans="1:43">
      <c r="A35" s="10" t="s">
        <v>27</v>
      </c>
      <c r="J35" s="197">
        <f t="shared" si="71"/>
        <v>0</v>
      </c>
      <c r="K35" s="197">
        <f t="shared" si="72"/>
        <v>352553.27800000005</v>
      </c>
      <c r="L35" s="197">
        <f t="shared" si="73"/>
        <v>4651.6397999999999</v>
      </c>
      <c r="M35" s="197">
        <f t="shared" si="74"/>
        <v>9555.34476</v>
      </c>
      <c r="N35" s="197">
        <f t="shared" si="75"/>
        <v>38390.871359999997</v>
      </c>
      <c r="O35" s="197">
        <f t="shared" si="76"/>
        <v>237.74949999999998</v>
      </c>
      <c r="P35" s="212">
        <f t="shared" si="69"/>
        <v>405388.88342000003</v>
      </c>
      <c r="Q35" s="202"/>
      <c r="R35" s="211">
        <f t="shared" ref="R35" si="89">J35*J42/1000000</f>
        <v>0</v>
      </c>
      <c r="S35" s="211">
        <f t="shared" ref="S35" si="90">K35*K42/1000000</f>
        <v>20.866212831196211</v>
      </c>
      <c r="T35" s="211">
        <f t="shared" ref="T35" si="91">L35*L42/1000000</f>
        <v>0.75520255462009755</v>
      </c>
      <c r="U35" s="211">
        <f t="shared" ref="U35" si="92">M35*M42/1000000</f>
        <v>0.66426315415691994</v>
      </c>
      <c r="V35" s="211">
        <f t="shared" ref="V35" si="93">N35*N42/1000000</f>
        <v>1.7275575051858347</v>
      </c>
      <c r="W35" s="211">
        <f t="shared" ref="W35" si="94">O35*O42/1000000</f>
        <v>7.8992122579271879E-5</v>
      </c>
      <c r="X35" s="220">
        <f t="shared" si="30"/>
        <v>24.013315037281643</v>
      </c>
      <c r="Z35" s="199"/>
      <c r="AA35" s="456"/>
      <c r="AB35" s="388"/>
      <c r="AC35" s="216"/>
      <c r="AJ35" s="10" t="s">
        <v>389</v>
      </c>
      <c r="AK35" s="56" t="str">
        <f t="shared" si="49"/>
        <v/>
      </c>
      <c r="AL35" s="56" t="str">
        <f>IFERROR(((K19/11.63)+K56)/K63,"")</f>
        <v/>
      </c>
      <c r="AM35" s="56" t="str">
        <f t="shared" si="51"/>
        <v/>
      </c>
      <c r="AN35" s="56" t="str">
        <f t="shared" si="52"/>
        <v/>
      </c>
      <c r="AO35" s="56" t="str">
        <f t="shared" si="53"/>
        <v/>
      </c>
      <c r="AP35" s="56" t="str">
        <f t="shared" si="54"/>
        <v/>
      </c>
      <c r="AQ35" s="286" t="str">
        <f t="shared" si="55"/>
        <v/>
      </c>
    </row>
    <row r="36" spans="1:43">
      <c r="A36" s="10" t="s">
        <v>28</v>
      </c>
      <c r="J36" s="197">
        <f t="shared" si="71"/>
        <v>0</v>
      </c>
      <c r="K36" s="197">
        <f t="shared" si="72"/>
        <v>1820.2</v>
      </c>
      <c r="L36" s="197">
        <f t="shared" si="73"/>
        <v>0</v>
      </c>
      <c r="M36" s="197">
        <f t="shared" si="74"/>
        <v>747.7586</v>
      </c>
      <c r="N36" s="197">
        <f t="shared" si="75"/>
        <v>4274.3629499999997</v>
      </c>
      <c r="O36" s="197">
        <f t="shared" si="76"/>
        <v>0</v>
      </c>
      <c r="P36" s="212">
        <f t="shared" si="69"/>
        <v>6842.3215499999997</v>
      </c>
      <c r="Q36" s="202"/>
      <c r="R36" s="211">
        <f t="shared" ref="R36" si="95">J36*J42/1000000</f>
        <v>0</v>
      </c>
      <c r="S36" s="211">
        <f t="shared" ref="S36" si="96">K36*K42/1000000</f>
        <v>0.107730328904624</v>
      </c>
      <c r="T36" s="211">
        <f t="shared" ref="T36" si="97">L36*L42/1000000</f>
        <v>0</v>
      </c>
      <c r="U36" s="211">
        <f t="shared" ref="U36" si="98">M36*M42/1000000</f>
        <v>5.1982267375977192E-2</v>
      </c>
      <c r="V36" s="211">
        <f t="shared" ref="V36" si="99">N36*N42/1000000</f>
        <v>0.19234280266570031</v>
      </c>
      <c r="W36" s="211">
        <f t="shared" ref="W36" si="100">O36*O42/1000000</f>
        <v>0</v>
      </c>
      <c r="X36" s="220">
        <f t="shared" si="30"/>
        <v>0.3520553989463015</v>
      </c>
      <c r="Z36" s="199"/>
      <c r="AA36" s="237"/>
      <c r="AB36" s="237"/>
      <c r="AC36" s="216"/>
      <c r="AF36" s="215"/>
      <c r="AG36" s="237"/>
      <c r="AH36" s="237"/>
      <c r="AJ36" s="308" t="s">
        <v>290</v>
      </c>
      <c r="AK36" s="307">
        <f t="shared" ref="AK36" si="101">IFERROR(((J20/11.63)+J50)/(J57+J25/41.868),"")</f>
        <v>0.36659877800407331</v>
      </c>
      <c r="AL36" s="307">
        <f t="shared" ref="AL36" si="102">IFERROR(((K20/11.63)+K50)/(K57+K25/41.868),"")</f>
        <v>0.62251928206178808</v>
      </c>
      <c r="AM36" s="307">
        <f t="shared" ref="AM36" si="103">IFERROR(((L20/11.63)+L50)/(L57+L25/41.868),"")</f>
        <v>0.51337940751038191</v>
      </c>
      <c r="AN36" s="307">
        <f t="shared" ref="AN36" si="104">IFERROR(((M20/11.63)+M50)/(M57+M25/41.868),"")</f>
        <v>0.63444198433075072</v>
      </c>
      <c r="AO36" s="307">
        <f t="shared" ref="AO36" si="105">IFERROR(((N20/11.63)+N50)/(N57+N25/41.868),"")</f>
        <v>0.46167146992266483</v>
      </c>
      <c r="AP36" s="307">
        <f t="shared" ref="AP36" si="106">IFERROR(((O20/11.63)+O50)/(O57+O25/41.868),"")</f>
        <v>0.51738183795319848</v>
      </c>
      <c r="AQ36" s="307">
        <f t="shared" ref="AQ36" si="107">IFERROR(((P20/11.63)+P50)/(P57+P25/41.868),"")</f>
        <v>0.56765419752944146</v>
      </c>
    </row>
    <row r="37" spans="1:43">
      <c r="A37" s="10" t="s">
        <v>29</v>
      </c>
      <c r="J37" s="197">
        <f t="shared" si="71"/>
        <v>0</v>
      </c>
      <c r="K37" s="197">
        <f t="shared" si="72"/>
        <v>8807.2749999999996</v>
      </c>
      <c r="L37" s="197">
        <f t="shared" si="73"/>
        <v>4059.2332500000002</v>
      </c>
      <c r="M37" s="197">
        <f t="shared" si="74"/>
        <v>1189.95325</v>
      </c>
      <c r="N37" s="197">
        <f t="shared" si="75"/>
        <v>46977.657749999998</v>
      </c>
      <c r="O37" s="197">
        <f t="shared" si="76"/>
        <v>14.242799999999999</v>
      </c>
      <c r="P37" s="212">
        <f t="shared" si="69"/>
        <v>61048.362049999996</v>
      </c>
      <c r="Q37" s="202"/>
      <c r="R37" s="211">
        <f t="shared" ref="R37" si="108">J37*J42/1000000</f>
        <v>0</v>
      </c>
      <c r="S37" s="211">
        <f t="shared" ref="S37" si="109">K37*K42/1000000</f>
        <v>0.52126724123913437</v>
      </c>
      <c r="T37" s="211">
        <f t="shared" ref="T37" si="110">L37*L42/1000000</f>
        <v>0.65902422629517465</v>
      </c>
      <c r="U37" s="211">
        <f t="shared" ref="U37" si="111">M37*M42/1000000</f>
        <v>8.2722509652731563E-2</v>
      </c>
      <c r="V37" s="211">
        <f t="shared" ref="V37" si="112">N37*N42/1000000</f>
        <v>2.1139558011340744</v>
      </c>
      <c r="W37" s="211">
        <f t="shared" ref="W37" si="113">O37*O42/1000000</f>
        <v>4.732161386131427E-6</v>
      </c>
      <c r="X37" s="220">
        <f t="shared" si="30"/>
        <v>3.3769745104825013</v>
      </c>
      <c r="Z37" s="199"/>
      <c r="AA37" s="237"/>
      <c r="AB37" s="237"/>
      <c r="AC37" s="216"/>
      <c r="AF37" s="215"/>
      <c r="AG37" s="237"/>
      <c r="AH37" s="237"/>
    </row>
    <row r="38" spans="1:43">
      <c r="A38" s="10" t="s">
        <v>389</v>
      </c>
      <c r="J38" s="197">
        <f t="shared" si="71"/>
        <v>0</v>
      </c>
      <c r="K38" s="197">
        <f t="shared" si="72"/>
        <v>0.63850000000000007</v>
      </c>
      <c r="L38" s="197">
        <f t="shared" si="73"/>
        <v>0</v>
      </c>
      <c r="M38" s="197">
        <f t="shared" si="74"/>
        <v>0</v>
      </c>
      <c r="N38" s="197">
        <f t="shared" si="75"/>
        <v>0</v>
      </c>
      <c r="O38" s="197">
        <f t="shared" si="76"/>
        <v>0</v>
      </c>
      <c r="P38" s="212">
        <f>SUM(J38:O38)</f>
        <v>0.63850000000000007</v>
      </c>
      <c r="Q38" s="202"/>
      <c r="R38" s="211">
        <f t="shared" ref="R38" si="114">J38*J42/1000000</f>
        <v>0</v>
      </c>
      <c r="S38" s="211">
        <f t="shared" ref="S38" si="115">K38*K42/1000000</f>
        <v>3.779025107438876E-5</v>
      </c>
      <c r="T38" s="211">
        <f t="shared" ref="T38" si="116">L38*L42/1000000</f>
        <v>0</v>
      </c>
      <c r="U38" s="211">
        <f t="shared" ref="U38" si="117">M38*M42/1000000</f>
        <v>0</v>
      </c>
      <c r="V38" s="211">
        <f t="shared" ref="V38" si="118">N38*N42/1000000</f>
        <v>0</v>
      </c>
      <c r="W38" s="211">
        <f t="shared" ref="W38" si="119">O38*O42/1000000</f>
        <v>0</v>
      </c>
      <c r="X38" s="220">
        <f t="shared" si="30"/>
        <v>3.779025107438876E-5</v>
      </c>
      <c r="Z38" s="199"/>
      <c r="AA38" s="237"/>
      <c r="AB38" s="237"/>
      <c r="AC38" s="219"/>
      <c r="AF38" s="215"/>
      <c r="AG38" s="237"/>
      <c r="AH38" s="237"/>
    </row>
    <row r="39" spans="1:43">
      <c r="A39" s="11" t="s">
        <v>10</v>
      </c>
      <c r="J39" s="212">
        <f t="shared" ref="J39:P39" si="120">J25+J32</f>
        <v>129819.41800000001</v>
      </c>
      <c r="K39" s="212">
        <f t="shared" si="120"/>
        <v>747350.51490000007</v>
      </c>
      <c r="L39" s="212">
        <f t="shared" si="120"/>
        <v>9923.1375000000007</v>
      </c>
      <c r="M39" s="212">
        <f t="shared" si="120"/>
        <v>28896.771820000002</v>
      </c>
      <c r="N39" s="212">
        <f t="shared" si="120"/>
        <v>165552.77687</v>
      </c>
      <c r="O39" s="212">
        <f t="shared" si="120"/>
        <v>61216.782800000001</v>
      </c>
      <c r="P39" s="212">
        <f t="shared" si="120"/>
        <v>1142759.4018900001</v>
      </c>
      <c r="Q39" s="202"/>
      <c r="R39" s="229">
        <f t="shared" ref="R39:W39" si="121">R25+R32</f>
        <v>12.124241789987698</v>
      </c>
      <c r="S39" s="229">
        <f t="shared" si="121"/>
        <v>44.232675957156964</v>
      </c>
      <c r="T39" s="229">
        <f t="shared" si="121"/>
        <v>1.6110402163655253</v>
      </c>
      <c r="U39" s="229">
        <f t="shared" si="121"/>
        <v>2.0088297467255387</v>
      </c>
      <c r="V39" s="229">
        <f t="shared" si="121"/>
        <v>7.4497382334518703</v>
      </c>
      <c r="W39" s="229">
        <f t="shared" si="121"/>
        <v>2.0339237772724075E-2</v>
      </c>
      <c r="X39" s="229">
        <f>X25+X32</f>
        <v>67.446865181460311</v>
      </c>
      <c r="Z39" s="199"/>
      <c r="AA39" s="237"/>
      <c r="AB39" s="237"/>
      <c r="AC39" s="216"/>
      <c r="AF39" s="215"/>
      <c r="AG39" s="237"/>
      <c r="AH39" s="237"/>
    </row>
    <row r="40" spans="1:43">
      <c r="E40" s="68" t="s">
        <v>200</v>
      </c>
      <c r="F40" s="68"/>
      <c r="G40" s="68"/>
      <c r="H40" s="68"/>
      <c r="I40" s="68"/>
      <c r="J40" s="367">
        <f>J39/41.868</f>
        <v>3100.6835291869684</v>
      </c>
      <c r="K40" s="367">
        <f t="shared" ref="K40:P40" si="122">K39/41.868</f>
        <v>17850.160382631126</v>
      </c>
      <c r="L40" s="367">
        <f t="shared" si="122"/>
        <v>237.01006735454285</v>
      </c>
      <c r="M40" s="367">
        <f t="shared" si="122"/>
        <v>690.1875374988058</v>
      </c>
      <c r="N40" s="367">
        <f t="shared" si="122"/>
        <v>3954.1601430686919</v>
      </c>
      <c r="O40" s="367">
        <f t="shared" si="122"/>
        <v>1462.1377376516671</v>
      </c>
      <c r="P40" s="367">
        <f t="shared" si="122"/>
        <v>27294.339397391803</v>
      </c>
      <c r="R40" s="227">
        <v>12.1242417899877</v>
      </c>
      <c r="S40" s="227">
        <v>44.232675957156964</v>
      </c>
      <c r="T40" s="227">
        <v>1.6110402163655244</v>
      </c>
      <c r="U40" s="227">
        <v>2.0061952874538203</v>
      </c>
      <c r="V40" s="227">
        <v>7.458200768713354</v>
      </c>
      <c r="W40" s="227">
        <v>2.0339237772724072E-2</v>
      </c>
      <c r="X40" s="227">
        <v>67.452693257450079</v>
      </c>
      <c r="Z40" s="199"/>
      <c r="AA40" s="237"/>
      <c r="AB40" s="237"/>
      <c r="AC40" s="216"/>
      <c r="AF40" s="215"/>
      <c r="AG40" s="237"/>
      <c r="AH40" s="237"/>
    </row>
    <row r="41" spans="1:43">
      <c r="A41" s="724" t="s">
        <v>519</v>
      </c>
      <c r="E41" s="68" t="s">
        <v>200</v>
      </c>
      <c r="J41" s="367">
        <f>(J25)/41.868+J57</f>
        <v>3100.6835291869684</v>
      </c>
      <c r="K41" s="367">
        <f t="shared" ref="K41:P41" si="123">(K25)/41.868+K57</f>
        <v>21114.144647463458</v>
      </c>
      <c r="L41" s="367">
        <f t="shared" si="123"/>
        <v>289.114875322442</v>
      </c>
      <c r="M41" s="367">
        <f t="shared" si="123"/>
        <v>1172.5837663609441</v>
      </c>
      <c r="N41" s="367">
        <f t="shared" si="123"/>
        <v>4805.0997661698675</v>
      </c>
      <c r="O41" s="367">
        <f t="shared" si="123"/>
        <v>1758.1261290245532</v>
      </c>
      <c r="P41" s="367">
        <f t="shared" si="123"/>
        <v>32239.752713528229</v>
      </c>
      <c r="T41" s="227"/>
      <c r="U41" s="228"/>
      <c r="Z41" s="199"/>
      <c r="AA41" s="237"/>
      <c r="AB41" s="237"/>
      <c r="AC41" s="216"/>
      <c r="AF41" s="215"/>
      <c r="AG41" s="237"/>
      <c r="AH41" s="237"/>
    </row>
    <row r="42" spans="1:43">
      <c r="A42" s="213" t="s">
        <v>217</v>
      </c>
      <c r="J42" s="198">
        <f>95+J43</f>
        <v>93.393130063082694</v>
      </c>
      <c r="K42" s="215">
        <f>56+K43</f>
        <v>59.185984454798373</v>
      </c>
      <c r="L42" s="177">
        <f>177+L43</f>
        <v>162.35189891962347</v>
      </c>
      <c r="M42" s="198">
        <f>68+M43</f>
        <v>69.517445036375634</v>
      </c>
      <c r="N42" s="198">
        <f>36+N43</f>
        <v>44.999174126216943</v>
      </c>
      <c r="O42" s="198">
        <f>1+O43</f>
        <v>0.33224937414914391</v>
      </c>
      <c r="P42" s="363">
        <f>P32/41.868</f>
        <v>14849.566683863573</v>
      </c>
      <c r="Q42" s="90">
        <f>P42-'5-x'!AC82</f>
        <v>0</v>
      </c>
      <c r="Z42" s="199"/>
      <c r="AA42" s="237"/>
      <c r="AB42" s="237"/>
      <c r="AC42" s="216"/>
      <c r="AF42" s="215"/>
      <c r="AG42" s="237"/>
      <c r="AH42" s="237"/>
    </row>
    <row r="43" spans="1:43">
      <c r="A43" s="504" t="s">
        <v>415</v>
      </c>
      <c r="B43" s="503"/>
      <c r="C43" s="503"/>
      <c r="D43" s="503"/>
      <c r="E43" s="503"/>
      <c r="F43" s="503"/>
      <c r="G43" s="503"/>
      <c r="H43" s="503"/>
      <c r="I43" s="503"/>
      <c r="J43" s="564">
        <v>-1.6068699369173025</v>
      </c>
      <c r="K43" s="564">
        <v>3.1859844547983727</v>
      </c>
      <c r="L43" s="564">
        <v>-14.648101080376534</v>
      </c>
      <c r="M43" s="564">
        <v>1.5174450363756393</v>
      </c>
      <c r="N43" s="564">
        <v>8.9991741262169409</v>
      </c>
      <c r="O43" s="564">
        <v>-0.66775062585085609</v>
      </c>
      <c r="P43" s="364">
        <f>P25/41.868</f>
        <v>12444.772713528231</v>
      </c>
      <c r="Q43" s="90">
        <f>P43-'5-x'!AC83</f>
        <v>0</v>
      </c>
      <c r="R43" s="506">
        <f>R39-R40</f>
        <v>0</v>
      </c>
      <c r="S43" s="506">
        <f>S39-S40</f>
        <v>0</v>
      </c>
      <c r="T43" s="506">
        <f>T39-SUM(T40:T41)</f>
        <v>0</v>
      </c>
      <c r="U43" s="506">
        <f>U39-U40</f>
        <v>2.634459271718459E-3</v>
      </c>
      <c r="V43" s="506">
        <f>V39-V40</f>
        <v>-8.4625352614837723E-3</v>
      </c>
      <c r="W43" s="506">
        <f>W39-W40</f>
        <v>0</v>
      </c>
      <c r="X43" s="252">
        <f>X39-X40</f>
        <v>-5.828075989768422E-3</v>
      </c>
      <c r="AA43" s="470"/>
      <c r="AB43" s="388"/>
      <c r="AC43" s="451"/>
    </row>
    <row r="44" spans="1:43">
      <c r="J44" s="198">
        <f t="shared" ref="J44:O44" si="124">J134</f>
        <v>93.23114491978842</v>
      </c>
      <c r="K44" s="198">
        <f t="shared" si="124"/>
        <v>58.919954755120884</v>
      </c>
      <c r="L44" s="198">
        <f t="shared" si="124"/>
        <v>175.91858667767531</v>
      </c>
      <c r="M44" s="198">
        <f t="shared" si="124"/>
        <v>70.867843451026062</v>
      </c>
      <c r="N44" s="198">
        <f t="shared" si="124"/>
        <v>42.880710573978014</v>
      </c>
      <c r="O44" s="198">
        <f t="shared" si="124"/>
        <v>0.45308345617924284</v>
      </c>
      <c r="P44" s="365">
        <f>P57-P42</f>
        <v>4945.4133161364261</v>
      </c>
      <c r="Q44" s="90">
        <f>P44-'5-x'!AC84</f>
        <v>0</v>
      </c>
      <c r="Z44" s="199"/>
      <c r="AA44" s="237"/>
      <c r="AB44" s="620"/>
      <c r="AC44" s="216"/>
    </row>
    <row r="45" spans="1:43">
      <c r="J45" s="198">
        <f t="shared" ref="J45:O45" si="125">J32/41.868</f>
        <v>0</v>
      </c>
      <c r="K45" s="198">
        <f t="shared" si="125"/>
        <v>11003.815735167673</v>
      </c>
      <c r="L45" s="198">
        <f t="shared" si="125"/>
        <v>233.0951920321009</v>
      </c>
      <c r="M45" s="198">
        <f t="shared" si="125"/>
        <v>300.94377113786186</v>
      </c>
      <c r="N45" s="198">
        <f t="shared" si="125"/>
        <v>2345.8603768988246</v>
      </c>
      <c r="O45" s="198">
        <f t="shared" si="125"/>
        <v>965.85160862711382</v>
      </c>
      <c r="P45" s="366">
        <f>SUM(P42:P44)</f>
        <v>32239.752713528233</v>
      </c>
      <c r="Q45" s="366"/>
      <c r="Z45" s="199"/>
      <c r="AA45" s="237"/>
      <c r="AB45" s="237"/>
      <c r="AC45" s="216"/>
    </row>
    <row r="46" spans="1:43">
      <c r="J46" s="198" t="str">
        <f t="shared" ref="J46:O46" si="126">IFERROR(J57-(J50/J47),"")</f>
        <v/>
      </c>
      <c r="K46" s="198">
        <f t="shared" si="126"/>
        <v>11003.815735167673</v>
      </c>
      <c r="L46" s="198">
        <f t="shared" si="126"/>
        <v>233.0951920321009</v>
      </c>
      <c r="M46" s="198">
        <f t="shared" si="126"/>
        <v>300.94377113786186</v>
      </c>
      <c r="N46" s="198">
        <f t="shared" si="126"/>
        <v>2345.8603768988246</v>
      </c>
      <c r="O46" s="198">
        <f t="shared" si="126"/>
        <v>965.85160862711382</v>
      </c>
      <c r="P46" s="198"/>
      <c r="Z46" s="199"/>
      <c r="AA46" s="237"/>
      <c r="AB46" s="237"/>
      <c r="AC46" s="216"/>
    </row>
    <row r="47" spans="1:43">
      <c r="A47" s="271" t="s">
        <v>413</v>
      </c>
      <c r="I47" s="558" t="str">
        <f t="shared" ref="I47:J47" si="127">IFERROR(I50/(I57-I32/41.868),"")</f>
        <v/>
      </c>
      <c r="J47" s="558" t="str">
        <f t="shared" si="127"/>
        <v/>
      </c>
      <c r="K47" s="558">
        <f>IFERROR(K50/(K57-K32/41.868),"")</f>
        <v>0.89245673706488438</v>
      </c>
      <c r="L47" s="558">
        <f t="shared" ref="L47:O47" si="128">IFERROR(L50/(L57-L32/41.868),"")</f>
        <v>0.89910718855761074</v>
      </c>
      <c r="M47" s="558">
        <f t="shared" si="128"/>
        <v>0.89649547469413671</v>
      </c>
      <c r="N47" s="558">
        <f t="shared" si="128"/>
        <v>0.84315675877672125</v>
      </c>
      <c r="O47" s="558">
        <f t="shared" si="128"/>
        <v>0.89192106193196952</v>
      </c>
      <c r="P47" s="558">
        <f>IFERROR(P50/(P57-P32/41.868),"")</f>
        <v>0.88440582934100209</v>
      </c>
      <c r="Z47" s="199"/>
      <c r="AA47" s="237"/>
      <c r="AB47" s="237"/>
      <c r="AC47" s="216"/>
    </row>
    <row r="48" spans="1:43">
      <c r="A48" s="68" t="s">
        <v>276</v>
      </c>
      <c r="J48" s="198"/>
      <c r="K48" s="198"/>
      <c r="L48" s="558">
        <f>IFERROR(SUM(K50:M50)/(SUM(K57:M57)-SUM(K32:M32)/41.868),"")</f>
        <v>0.89306087058585315</v>
      </c>
      <c r="P48" s="477"/>
      <c r="R48" s="221" t="s">
        <v>438</v>
      </c>
      <c r="S48" s="195"/>
      <c r="T48" s="195"/>
      <c r="U48" s="195"/>
      <c r="V48" s="195"/>
      <c r="W48" s="195"/>
      <c r="X48" s="195"/>
      <c r="Z48" s="199"/>
      <c r="AA48" s="237"/>
      <c r="AB48" s="237"/>
      <c r="AC48" s="216"/>
    </row>
    <row r="49" spans="1:34">
      <c r="A49" s="68" t="str">
        <f>A4</f>
        <v>Dati 2023 lorda</v>
      </c>
      <c r="J49" s="210" t="s">
        <v>5</v>
      </c>
      <c r="K49" s="210" t="s">
        <v>210</v>
      </c>
      <c r="L49" s="210" t="s">
        <v>211</v>
      </c>
      <c r="M49" s="210" t="s">
        <v>214</v>
      </c>
      <c r="N49" s="210" t="s">
        <v>216</v>
      </c>
      <c r="O49" s="210" t="s">
        <v>215</v>
      </c>
      <c r="P49" s="210" t="s">
        <v>213</v>
      </c>
      <c r="R49" s="221" t="s">
        <v>5</v>
      </c>
      <c r="S49" s="221" t="s">
        <v>210</v>
      </c>
      <c r="T49" s="221" t="s">
        <v>211</v>
      </c>
      <c r="U49" s="221" t="s">
        <v>214</v>
      </c>
      <c r="V49" s="221" t="s">
        <v>216</v>
      </c>
      <c r="W49" s="221" t="s">
        <v>215</v>
      </c>
      <c r="X49" s="221" t="s">
        <v>213</v>
      </c>
      <c r="AA49" s="210" t="s">
        <v>5</v>
      </c>
      <c r="AB49" s="210" t="s">
        <v>210</v>
      </c>
      <c r="AC49" s="210" t="s">
        <v>211</v>
      </c>
      <c r="AD49" s="210" t="s">
        <v>214</v>
      </c>
      <c r="AE49" s="210" t="s">
        <v>216</v>
      </c>
      <c r="AF49" s="210" t="s">
        <v>215</v>
      </c>
      <c r="AG49" s="210" t="s">
        <v>213</v>
      </c>
    </row>
    <row r="50" spans="1:34">
      <c r="A50" s="223" t="s">
        <v>275</v>
      </c>
      <c r="J50" s="209">
        <f t="shared" ref="J50:O50" si="129">SUM(J51:J56)</f>
        <v>0</v>
      </c>
      <c r="K50" s="209">
        <f t="shared" si="129"/>
        <v>2912.9647468233834</v>
      </c>
      <c r="L50" s="209">
        <f t="shared" si="129"/>
        <v>46.847807402351997</v>
      </c>
      <c r="M50" s="209">
        <f t="shared" si="129"/>
        <v>432.46603618442396</v>
      </c>
      <c r="N50" s="209">
        <f t="shared" si="129"/>
        <v>717.47549452867202</v>
      </c>
      <c r="O50" s="209">
        <f t="shared" si="129"/>
        <v>263.99828035283997</v>
      </c>
      <c r="P50" s="298">
        <f>SUM(J50:O50)</f>
        <v>4373.7523652916716</v>
      </c>
      <c r="Q50" s="223" t="s">
        <v>17</v>
      </c>
      <c r="R50" s="316">
        <f t="shared" ref="R50:R63" si="130">IFERROR(R25/J6*1000000,0)</f>
        <v>917.120537219472</v>
      </c>
      <c r="S50" s="316">
        <f t="shared" ref="S50:S63" si="131">IFERROR(S25/K6*1000000,0)</f>
        <v>394.58253211535975</v>
      </c>
      <c r="T50" s="316">
        <f t="shared" ref="T50:T63" si="132">IFERROR(T25/L6*1000000,0)</f>
        <v>1529.354887822853</v>
      </c>
      <c r="U50" s="316">
        <f t="shared" ref="U50:U63" si="133">IFERROR(U25/M6*1000000,0)</f>
        <v>685.4608181220691</v>
      </c>
      <c r="V50" s="316">
        <f t="shared" ref="V50:V63" si="134">IFERROR(V25/N6*1000000,0)</f>
        <v>532.76558847455965</v>
      </c>
      <c r="W50" s="316">
        <f t="shared" ref="W50:W63" si="135">IFERROR(W25/O6*1000000,0)</f>
        <v>3.2920437383900865</v>
      </c>
      <c r="X50" s="316">
        <f t="shared" ref="X50:X63" si="136">IFERROR(X25/P6*1000000,0)</f>
        <v>506.86742180076817</v>
      </c>
      <c r="Z50" s="621" t="s">
        <v>471</v>
      </c>
      <c r="AA50" s="209">
        <f t="shared" ref="AA50:AF50" si="137">SUM(AA51:AA56)</f>
        <v>0</v>
      </c>
      <c r="AB50" s="209">
        <f t="shared" si="137"/>
        <v>33877.780000000006</v>
      </c>
      <c r="AC50" s="209">
        <f t="shared" si="137"/>
        <v>544.83999999999992</v>
      </c>
      <c r="AD50" s="209">
        <f t="shared" si="137"/>
        <v>5029.58</v>
      </c>
      <c r="AE50" s="209">
        <f t="shared" si="137"/>
        <v>8344.24</v>
      </c>
      <c r="AF50" s="209">
        <f t="shared" si="137"/>
        <v>3070.2999999999997</v>
      </c>
      <c r="AG50" s="298">
        <f>SUM(AA50:AF50)</f>
        <v>50866.740000000005</v>
      </c>
    </row>
    <row r="51" spans="1:34">
      <c r="A51" s="216" t="s">
        <v>25</v>
      </c>
      <c r="J51" s="487">
        <f t="shared" ref="J51:J56" si="138">IFERROR(AA51*85.9845228/1000,"")</f>
        <v>0</v>
      </c>
      <c r="K51" s="487">
        <f>IFERROR(AB51*85.9845228/1000,"")</f>
        <v>779.38091156376004</v>
      </c>
      <c r="L51" s="487">
        <f t="shared" ref="L51:L56" si="139">IFERROR(AC51*85.9845228/1000,"")</f>
        <v>8.7618228733199999</v>
      </c>
      <c r="M51" s="487">
        <f t="shared" ref="M51:M56" si="140">IFERROR(AD51*85.9845228/1000,"")</f>
        <v>1.14359415324</v>
      </c>
      <c r="N51" s="487">
        <f t="shared" ref="N51:N56" si="141">IFERROR(AE51*85.9845228/1000,"")</f>
        <v>132.61392951443997</v>
      </c>
      <c r="O51" s="487">
        <f t="shared" ref="O51:O56" si="142">IFERROR(AF51*85.9845228/1000,"")</f>
        <v>261.35855550287999</v>
      </c>
      <c r="P51" s="298">
        <f t="shared" ref="P51:P56" si="143">SUM(J51:O51)</f>
        <v>1183.2588136076399</v>
      </c>
      <c r="Q51" s="216" t="s">
        <v>18</v>
      </c>
      <c r="R51" s="317">
        <f t="shared" si="130"/>
        <v>0</v>
      </c>
      <c r="S51" s="317">
        <f t="shared" si="131"/>
        <v>513.02411325419234</v>
      </c>
      <c r="T51" s="317">
        <f t="shared" si="132"/>
        <v>1529.354887822853</v>
      </c>
      <c r="U51" s="317">
        <f t="shared" si="133"/>
        <v>666.39422811869679</v>
      </c>
      <c r="V51" s="317">
        <f t="shared" si="134"/>
        <v>403.01260347439893</v>
      </c>
      <c r="W51" s="317">
        <f t="shared" si="135"/>
        <v>3.2849495622125859</v>
      </c>
      <c r="X51" s="316">
        <f t="shared" si="136"/>
        <v>189.06834187351478</v>
      </c>
      <c r="Z51" s="239" t="s">
        <v>25</v>
      </c>
      <c r="AA51" s="453"/>
      <c r="AB51" s="453">
        <v>9064.2000000000007</v>
      </c>
      <c r="AC51" s="453">
        <v>101.9</v>
      </c>
      <c r="AD51" s="453">
        <v>13.3</v>
      </c>
      <c r="AE51" s="453">
        <v>1542.3</v>
      </c>
      <c r="AF51" s="453">
        <v>3039.6</v>
      </c>
      <c r="AG51" s="622">
        <f t="shared" ref="AG51:AG56" si="144">SUM(AA51:AF51)</f>
        <v>13761.3</v>
      </c>
    </row>
    <row r="52" spans="1:34">
      <c r="A52" s="216" t="s">
        <v>26</v>
      </c>
      <c r="J52" s="487">
        <f t="shared" si="138"/>
        <v>0</v>
      </c>
      <c r="K52" s="487">
        <f t="shared" ref="K52" si="145">IFERROR(AB52*85.9845228/1000,"")</f>
        <v>683.64574387823995</v>
      </c>
      <c r="L52" s="487">
        <f t="shared" si="139"/>
        <v>0</v>
      </c>
      <c r="M52" s="487">
        <f t="shared" si="140"/>
        <v>44.539982810399998</v>
      </c>
      <c r="N52" s="487">
        <f t="shared" si="141"/>
        <v>4.09286328528</v>
      </c>
      <c r="O52" s="487">
        <f t="shared" si="142"/>
        <v>0.92003439395999986</v>
      </c>
      <c r="P52" s="298">
        <f t="shared" si="143"/>
        <v>733.19862436788003</v>
      </c>
      <c r="Q52" s="216" t="s">
        <v>19</v>
      </c>
      <c r="R52" s="317">
        <f t="shared" si="130"/>
        <v>0</v>
      </c>
      <c r="S52" s="317">
        <f t="shared" si="131"/>
        <v>630.15317649023814</v>
      </c>
      <c r="T52" s="317">
        <f t="shared" si="132"/>
        <v>0</v>
      </c>
      <c r="U52" s="317">
        <f t="shared" si="133"/>
        <v>985.1317136104791</v>
      </c>
      <c r="V52" s="317">
        <f t="shared" si="134"/>
        <v>597.85902744091834</v>
      </c>
      <c r="W52" s="317">
        <f t="shared" si="135"/>
        <v>3.8371480220484631</v>
      </c>
      <c r="X52" s="316">
        <f t="shared" si="136"/>
        <v>551.59599893320615</v>
      </c>
      <c r="Z52" s="239" t="s">
        <v>26</v>
      </c>
      <c r="AA52" s="453"/>
      <c r="AB52" s="453">
        <v>7950.8</v>
      </c>
      <c r="AC52" s="453"/>
      <c r="AD52" s="453">
        <v>518</v>
      </c>
      <c r="AE52" s="453">
        <v>47.6</v>
      </c>
      <c r="AF52" s="453">
        <v>10.7</v>
      </c>
      <c r="AG52" s="622">
        <f t="shared" si="144"/>
        <v>8527.1</v>
      </c>
    </row>
    <row r="53" spans="1:34">
      <c r="A53" s="216" t="s">
        <v>27</v>
      </c>
      <c r="J53" s="487">
        <f t="shared" si="138"/>
        <v>0</v>
      </c>
      <c r="K53" s="487">
        <f>IFERROR(AB53*85.9845228/1000,"")</f>
        <v>1312.075666595232</v>
      </c>
      <c r="L53" s="487">
        <f t="shared" si="139"/>
        <v>23.279449702872</v>
      </c>
      <c r="M53" s="487">
        <f t="shared" si="140"/>
        <v>225.532244233032</v>
      </c>
      <c r="N53" s="487">
        <f t="shared" si="141"/>
        <v>208.94239040399998</v>
      </c>
      <c r="O53" s="487">
        <f t="shared" si="142"/>
        <v>1.6509028377599997</v>
      </c>
      <c r="P53" s="298">
        <f t="shared" si="143"/>
        <v>1771.4806537728959</v>
      </c>
      <c r="Q53" s="216" t="s">
        <v>20</v>
      </c>
      <c r="R53" s="317">
        <f t="shared" si="130"/>
        <v>917.120537219472</v>
      </c>
      <c r="S53" s="317">
        <f t="shared" si="131"/>
        <v>445.315347037903</v>
      </c>
      <c r="T53" s="317">
        <f t="shared" si="132"/>
        <v>0</v>
      </c>
      <c r="U53" s="317">
        <f t="shared" si="133"/>
        <v>687.11042673953671</v>
      </c>
      <c r="V53" s="317">
        <f t="shared" si="134"/>
        <v>630.70842455305672</v>
      </c>
      <c r="W53" s="317">
        <f t="shared" si="135"/>
        <v>2.990908866090594</v>
      </c>
      <c r="X53" s="316">
        <f t="shared" si="136"/>
        <v>824.89896428461839</v>
      </c>
      <c r="Z53" s="239" t="s">
        <v>27</v>
      </c>
      <c r="AA53" s="453"/>
      <c r="AB53" s="453">
        <v>15259.44</v>
      </c>
      <c r="AC53" s="453">
        <v>270.74</v>
      </c>
      <c r="AD53" s="453">
        <v>2622.94</v>
      </c>
      <c r="AE53" s="453">
        <v>2430</v>
      </c>
      <c r="AF53" s="453">
        <v>19.2</v>
      </c>
      <c r="AG53" s="622">
        <f t="shared" si="144"/>
        <v>20602.32</v>
      </c>
    </row>
    <row r="54" spans="1:34">
      <c r="A54" s="216" t="s">
        <v>28</v>
      </c>
      <c r="J54" s="487">
        <f t="shared" si="138"/>
        <v>0</v>
      </c>
      <c r="K54" s="487">
        <f>IFERROR(AB54*85.9845228/1000,"")</f>
        <v>91.447979378711992</v>
      </c>
      <c r="L54" s="487">
        <f t="shared" si="139"/>
        <v>0</v>
      </c>
      <c r="M54" s="487">
        <f t="shared" si="140"/>
        <v>84.560619102432</v>
      </c>
      <c r="N54" s="487">
        <f t="shared" si="141"/>
        <v>91.181427358031996</v>
      </c>
      <c r="O54" s="487">
        <f t="shared" si="142"/>
        <v>0</v>
      </c>
      <c r="P54" s="298">
        <f t="shared" si="143"/>
        <v>267.19002583917597</v>
      </c>
      <c r="Q54" s="216" t="s">
        <v>21</v>
      </c>
      <c r="R54" s="317">
        <f t="shared" si="130"/>
        <v>0</v>
      </c>
      <c r="S54" s="317">
        <f t="shared" si="131"/>
        <v>391.21935724621727</v>
      </c>
      <c r="T54" s="317">
        <f t="shared" si="132"/>
        <v>0</v>
      </c>
      <c r="U54" s="317">
        <f t="shared" si="133"/>
        <v>588.74324201306513</v>
      </c>
      <c r="V54" s="317">
        <f t="shared" si="134"/>
        <v>351.66854579638556</v>
      </c>
      <c r="W54" s="317">
        <f t="shared" si="135"/>
        <v>2.9909088660905936</v>
      </c>
      <c r="X54" s="316">
        <f t="shared" si="136"/>
        <v>389.80369597772022</v>
      </c>
      <c r="Z54" s="239" t="s">
        <v>28</v>
      </c>
      <c r="AA54" s="453"/>
      <c r="AB54" s="453">
        <v>1063.54</v>
      </c>
      <c r="AC54" s="453"/>
      <c r="AD54" s="453">
        <v>983.44</v>
      </c>
      <c r="AE54" s="453">
        <v>1060.44</v>
      </c>
      <c r="AF54" s="453"/>
      <c r="AG54" s="622">
        <f t="shared" si="144"/>
        <v>3107.42</v>
      </c>
    </row>
    <row r="55" spans="1:34">
      <c r="A55" s="216" t="s">
        <v>29</v>
      </c>
      <c r="J55" s="487">
        <f t="shared" si="138"/>
        <v>0</v>
      </c>
      <c r="K55" s="487">
        <f t="shared" ref="K55" si="146">IFERROR(AB55*85.9845228/1000,"")</f>
        <v>46.414445407439992</v>
      </c>
      <c r="L55" s="487">
        <f t="shared" si="139"/>
        <v>14.806534826159998</v>
      </c>
      <c r="M55" s="487">
        <f t="shared" si="140"/>
        <v>76.689595885320003</v>
      </c>
      <c r="N55" s="487">
        <f t="shared" si="141"/>
        <v>280.64488396691996</v>
      </c>
      <c r="O55" s="487">
        <f t="shared" si="142"/>
        <v>6.8787618240000001E-2</v>
      </c>
      <c r="P55" s="298">
        <f t="shared" si="143"/>
        <v>418.62424770407995</v>
      </c>
      <c r="Q55" s="216" t="s">
        <v>23</v>
      </c>
      <c r="R55" s="317">
        <f t="shared" si="130"/>
        <v>0</v>
      </c>
      <c r="S55" s="317">
        <f t="shared" si="131"/>
        <v>0</v>
      </c>
      <c r="T55" s="317">
        <f t="shared" si="132"/>
        <v>0</v>
      </c>
      <c r="U55" s="317">
        <f t="shared" si="133"/>
        <v>0</v>
      </c>
      <c r="V55" s="317">
        <f t="shared" si="134"/>
        <v>0</v>
      </c>
      <c r="W55" s="317">
        <f t="shared" si="135"/>
        <v>0</v>
      </c>
      <c r="X55" s="316">
        <f t="shared" si="136"/>
        <v>0</v>
      </c>
      <c r="Z55" s="239" t="s">
        <v>29</v>
      </c>
      <c r="AA55" s="453"/>
      <c r="AB55" s="453">
        <v>539.79999999999995</v>
      </c>
      <c r="AC55" s="453">
        <v>172.2</v>
      </c>
      <c r="AD55" s="453">
        <v>891.9</v>
      </c>
      <c r="AE55" s="453">
        <v>3263.9</v>
      </c>
      <c r="AF55" s="453">
        <v>0.8</v>
      </c>
      <c r="AG55" s="622">
        <f t="shared" si="144"/>
        <v>4868.6000000000004</v>
      </c>
    </row>
    <row r="56" spans="1:34">
      <c r="A56" s="216" t="s">
        <v>388</v>
      </c>
      <c r="J56" s="487">
        <f t="shared" si="138"/>
        <v>0</v>
      </c>
      <c r="K56" s="487">
        <f>IFERROR(AB56*85.9845228/1000,"")</f>
        <v>0</v>
      </c>
      <c r="L56" s="487">
        <f t="shared" si="139"/>
        <v>0</v>
      </c>
      <c r="M56" s="487">
        <f t="shared" si="140"/>
        <v>0</v>
      </c>
      <c r="N56" s="487">
        <f t="shared" si="141"/>
        <v>0</v>
      </c>
      <c r="O56" s="487">
        <f t="shared" si="142"/>
        <v>0</v>
      </c>
      <c r="P56" s="220">
        <f t="shared" si="143"/>
        <v>0</v>
      </c>
      <c r="Q56" s="216" t="str">
        <f>A56</f>
        <v>a celle combustibile (CEC)</v>
      </c>
      <c r="R56" s="317">
        <f t="shared" si="130"/>
        <v>0</v>
      </c>
      <c r="S56" s="317">
        <f t="shared" si="131"/>
        <v>0</v>
      </c>
      <c r="T56" s="317">
        <f t="shared" si="132"/>
        <v>0</v>
      </c>
      <c r="U56" s="317">
        <f t="shared" si="133"/>
        <v>0</v>
      </c>
      <c r="V56" s="317">
        <f t="shared" si="134"/>
        <v>0</v>
      </c>
      <c r="W56" s="317">
        <f t="shared" si="135"/>
        <v>0</v>
      </c>
      <c r="X56" s="316">
        <f t="shared" si="136"/>
        <v>0</v>
      </c>
      <c r="Z56" s="239" t="s">
        <v>388</v>
      </c>
      <c r="AA56" s="453"/>
      <c r="AB56" s="453"/>
      <c r="AC56" s="453"/>
      <c r="AD56" s="453"/>
      <c r="AE56" s="453"/>
      <c r="AF56" s="453"/>
      <c r="AG56" s="622">
        <f t="shared" si="144"/>
        <v>0</v>
      </c>
      <c r="AH56" s="237"/>
    </row>
    <row r="57" spans="1:34">
      <c r="A57" s="223" t="s">
        <v>277</v>
      </c>
      <c r="J57" s="209">
        <f t="shared" ref="J57:O57" si="147">SUM(J58:J63)</f>
        <v>0</v>
      </c>
      <c r="K57" s="209">
        <f t="shared" si="147"/>
        <v>14267.8</v>
      </c>
      <c r="L57" s="209">
        <f t="shared" si="147"/>
        <v>285.20000000000005</v>
      </c>
      <c r="M57" s="209">
        <f t="shared" si="147"/>
        <v>783.34</v>
      </c>
      <c r="N57" s="209">
        <f t="shared" si="147"/>
        <v>3196.8</v>
      </c>
      <c r="O57" s="209">
        <f t="shared" si="147"/>
        <v>1261.8399999999999</v>
      </c>
      <c r="P57" s="298">
        <f>SUM(J57:O57)</f>
        <v>19794.98</v>
      </c>
      <c r="Q57" s="223" t="s">
        <v>24</v>
      </c>
      <c r="R57" s="316">
        <f t="shared" si="130"/>
        <v>0</v>
      </c>
      <c r="S57" s="316">
        <f t="shared" si="131"/>
        <v>358.82415382649049</v>
      </c>
      <c r="T57" s="316">
        <f t="shared" si="132"/>
        <v>1361.2521511382859</v>
      </c>
      <c r="U57" s="316">
        <f t="shared" si="133"/>
        <v>444.71208443747793</v>
      </c>
      <c r="V57" s="316">
        <f t="shared" si="134"/>
        <v>375.56471487879344</v>
      </c>
      <c r="W57" s="316">
        <f t="shared" si="135"/>
        <v>2.4827667559065212</v>
      </c>
      <c r="X57" s="316">
        <f t="shared" si="136"/>
        <v>354.71831816149199</v>
      </c>
      <c r="Z57" s="621" t="s">
        <v>473</v>
      </c>
      <c r="AA57" s="470">
        <f t="shared" ref="AA57:AF57" si="148">SUM(AA58:AA63)</f>
        <v>0</v>
      </c>
      <c r="AB57" s="470">
        <f t="shared" si="148"/>
        <v>31057.34</v>
      </c>
      <c r="AC57" s="470">
        <f t="shared" si="148"/>
        <v>544.79999999999995</v>
      </c>
      <c r="AD57" s="470">
        <f t="shared" si="148"/>
        <v>4530.7</v>
      </c>
      <c r="AE57" s="470">
        <f t="shared" si="148"/>
        <v>6370.0599999999995</v>
      </c>
      <c r="AF57" s="470">
        <f t="shared" si="148"/>
        <v>1336.1</v>
      </c>
      <c r="AG57" s="622">
        <f>SUM(AA57:AF57)</f>
        <v>43838.999999999993</v>
      </c>
      <c r="AH57" s="237"/>
    </row>
    <row r="58" spans="1:34">
      <c r="A58" s="216" t="s">
        <v>25</v>
      </c>
      <c r="J58" s="177"/>
      <c r="K58" s="177">
        <v>2530.5</v>
      </c>
      <c r="L58" s="177">
        <v>34.799999999999997</v>
      </c>
      <c r="M58" s="177">
        <v>2.5</v>
      </c>
      <c r="N58" s="177">
        <v>350.3</v>
      </c>
      <c r="O58" s="177">
        <v>1251.5999999999999</v>
      </c>
      <c r="P58" s="298">
        <f t="shared" ref="P58:P62" si="149">SUM(J58:O58)</f>
        <v>4169.7000000000007</v>
      </c>
      <c r="Q58" s="216" t="s">
        <v>25</v>
      </c>
      <c r="R58" s="317">
        <f t="shared" si="130"/>
        <v>0</v>
      </c>
      <c r="S58" s="317">
        <f t="shared" si="131"/>
        <v>332.74360460487651</v>
      </c>
      <c r="T58" s="317">
        <f t="shared" si="132"/>
        <v>1122.3386772313568</v>
      </c>
      <c r="U58" s="317">
        <f t="shared" si="133"/>
        <v>414.0459026366533</v>
      </c>
      <c r="V58" s="317">
        <f t="shared" si="134"/>
        <v>349.59858378657941</v>
      </c>
      <c r="W58" s="317">
        <f t="shared" si="135"/>
        <v>2.482235074268254</v>
      </c>
      <c r="X58" s="316">
        <f t="shared" si="136"/>
        <v>246.55940372305258</v>
      </c>
      <c r="Z58" s="239" t="s">
        <v>25</v>
      </c>
      <c r="AA58" s="453"/>
      <c r="AB58" s="453">
        <v>8455.6</v>
      </c>
      <c r="AC58" s="453">
        <v>101.9</v>
      </c>
      <c r="AD58" s="453">
        <v>9.1</v>
      </c>
      <c r="AE58" s="453">
        <v>858.9</v>
      </c>
      <c r="AF58" s="453">
        <v>1319.6</v>
      </c>
      <c r="AG58" s="622">
        <f t="shared" ref="AG58:AG63" si="150">SUM(AA58:AF58)</f>
        <v>10745.1</v>
      </c>
    </row>
    <row r="59" spans="1:34">
      <c r="A59" s="216" t="s">
        <v>26</v>
      </c>
      <c r="J59" s="177"/>
      <c r="K59" s="177">
        <v>1431.6</v>
      </c>
      <c r="L59" s="177"/>
      <c r="M59" s="177">
        <v>74.739999999999995</v>
      </c>
      <c r="N59" s="177">
        <v>9.6</v>
      </c>
      <c r="O59" s="177">
        <v>2.34</v>
      </c>
      <c r="P59" s="298">
        <f t="shared" si="149"/>
        <v>1518.2799999999997</v>
      </c>
      <c r="Q59" s="216" t="s">
        <v>26</v>
      </c>
      <c r="R59" s="317">
        <f t="shared" si="130"/>
        <v>0</v>
      </c>
      <c r="S59" s="317">
        <f t="shared" si="131"/>
        <v>316.40827289535213</v>
      </c>
      <c r="T59" s="317">
        <f t="shared" si="132"/>
        <v>0</v>
      </c>
      <c r="U59" s="317">
        <f t="shared" si="133"/>
        <v>349.25564386275119</v>
      </c>
      <c r="V59" s="317">
        <f t="shared" si="134"/>
        <v>481.89615571765722</v>
      </c>
      <c r="W59" s="317">
        <f t="shared" si="135"/>
        <v>2.5579879315742584</v>
      </c>
      <c r="X59" s="316">
        <f t="shared" si="136"/>
        <v>317.84390999374824</v>
      </c>
      <c r="Z59" s="239" t="s">
        <v>26</v>
      </c>
      <c r="AA59" s="453"/>
      <c r="AB59" s="453">
        <v>7749.7</v>
      </c>
      <c r="AC59" s="453"/>
      <c r="AD59" s="453">
        <v>297.3</v>
      </c>
      <c r="AE59" s="453">
        <v>39.700000000000003</v>
      </c>
      <c r="AF59" s="453">
        <v>4.7</v>
      </c>
      <c r="AG59" s="622">
        <f t="shared" si="150"/>
        <v>8091.4</v>
      </c>
      <c r="AH59" s="240"/>
    </row>
    <row r="60" spans="1:34">
      <c r="A60" s="216" t="s">
        <v>27</v>
      </c>
      <c r="J60" s="177"/>
      <c r="K60" s="177">
        <v>9895.1</v>
      </c>
      <c r="L60" s="177">
        <v>137</v>
      </c>
      <c r="M60" s="177">
        <v>480.6</v>
      </c>
      <c r="N60" s="177">
        <v>1172.4000000000001</v>
      </c>
      <c r="O60" s="177">
        <v>7.5</v>
      </c>
      <c r="P60" s="298">
        <f t="shared" si="149"/>
        <v>11692.6</v>
      </c>
      <c r="Q60" s="216" t="s">
        <v>27</v>
      </c>
      <c r="R60" s="317">
        <f t="shared" si="130"/>
        <v>0</v>
      </c>
      <c r="S60" s="317">
        <f t="shared" si="131"/>
        <v>365.88775589956356</v>
      </c>
      <c r="T60" s="317">
        <f t="shared" si="132"/>
        <v>1330.636163545234</v>
      </c>
      <c r="U60" s="317">
        <f t="shared" si="133"/>
        <v>466.32302130400774</v>
      </c>
      <c r="V60" s="317">
        <f t="shared" si="134"/>
        <v>277.37490931400123</v>
      </c>
      <c r="W60" s="317">
        <f t="shared" si="135"/>
        <v>2.5084827748260365</v>
      </c>
      <c r="X60" s="316">
        <f t="shared" si="136"/>
        <v>367.84680073806817</v>
      </c>
      <c r="Z60" s="239" t="s">
        <v>27</v>
      </c>
      <c r="AA60" s="453"/>
      <c r="AB60" s="453">
        <v>13262.34</v>
      </c>
      <c r="AC60" s="453">
        <v>270.7</v>
      </c>
      <c r="AD60" s="453">
        <v>2436.64</v>
      </c>
      <c r="AE60" s="453">
        <v>1682</v>
      </c>
      <c r="AF60" s="453">
        <v>11.2</v>
      </c>
      <c r="AG60" s="622">
        <f t="shared" si="150"/>
        <v>17662.88</v>
      </c>
      <c r="AH60" s="237"/>
    </row>
    <row r="61" spans="1:34">
      <c r="A61" s="216" t="s">
        <v>28</v>
      </c>
      <c r="J61" s="177"/>
      <c r="K61" s="177">
        <v>147.80000000000001</v>
      </c>
      <c r="L61" s="177"/>
      <c r="M61" s="177">
        <v>111.8</v>
      </c>
      <c r="N61" s="177">
        <v>207.1</v>
      </c>
      <c r="O61" s="177"/>
      <c r="P61" s="298">
        <f t="shared" si="149"/>
        <v>466.70000000000005</v>
      </c>
      <c r="Q61" s="216" t="s">
        <v>28</v>
      </c>
      <c r="R61" s="317">
        <f t="shared" si="130"/>
        <v>0</v>
      </c>
      <c r="S61" s="317">
        <f t="shared" si="131"/>
        <v>283.50086553848422</v>
      </c>
      <c r="T61" s="317">
        <f t="shared" si="132"/>
        <v>0</v>
      </c>
      <c r="U61" s="317">
        <f t="shared" si="133"/>
        <v>341.53920746371352</v>
      </c>
      <c r="V61" s="317">
        <f t="shared" si="134"/>
        <v>302.2594526057992</v>
      </c>
      <c r="W61" s="317">
        <f t="shared" si="135"/>
        <v>0</v>
      </c>
      <c r="X61" s="316">
        <f t="shared" si="136"/>
        <v>301.2754259092905</v>
      </c>
      <c r="Z61" s="239" t="s">
        <v>28</v>
      </c>
      <c r="AA61" s="453"/>
      <c r="AB61" s="453">
        <v>1054.5</v>
      </c>
      <c r="AC61" s="453"/>
      <c r="AD61" s="453">
        <v>962.36</v>
      </c>
      <c r="AE61" s="453">
        <v>1054.8599999999999</v>
      </c>
      <c r="AF61" s="453"/>
      <c r="AG61" s="622">
        <f t="shared" si="150"/>
        <v>3071.7200000000003</v>
      </c>
      <c r="AH61" s="237"/>
    </row>
    <row r="62" spans="1:34">
      <c r="A62" s="216" t="s">
        <v>29</v>
      </c>
      <c r="J62" s="177"/>
      <c r="K62" s="177">
        <v>262.8</v>
      </c>
      <c r="L62" s="177">
        <v>113.4</v>
      </c>
      <c r="M62" s="177">
        <v>113.7</v>
      </c>
      <c r="N62" s="177">
        <v>1457.4</v>
      </c>
      <c r="O62" s="177">
        <v>0.4</v>
      </c>
      <c r="P62" s="298">
        <f t="shared" si="149"/>
        <v>1947.7000000000003</v>
      </c>
      <c r="Q62" s="216" t="s">
        <v>29</v>
      </c>
      <c r="R62" s="317">
        <f t="shared" si="130"/>
        <v>0</v>
      </c>
      <c r="S62" s="317">
        <f t="shared" si="131"/>
        <v>533.26571993773337</v>
      </c>
      <c r="T62" s="317">
        <f t="shared" si="132"/>
        <v>1481.7857814394035</v>
      </c>
      <c r="U62" s="317">
        <f t="shared" si="133"/>
        <v>474.73463215340922</v>
      </c>
      <c r="V62" s="317">
        <f t="shared" si="134"/>
        <v>555.24480954339072</v>
      </c>
      <c r="W62" s="317">
        <f t="shared" si="135"/>
        <v>3.6401241431780207</v>
      </c>
      <c r="X62" s="316">
        <f t="shared" si="136"/>
        <v>624.78136381393347</v>
      </c>
      <c r="Z62" s="239" t="s">
        <v>29</v>
      </c>
      <c r="AA62" s="453"/>
      <c r="AB62" s="453">
        <v>535.20000000000005</v>
      </c>
      <c r="AC62" s="453">
        <v>172.2</v>
      </c>
      <c r="AD62" s="453">
        <v>825.3</v>
      </c>
      <c r="AE62" s="453">
        <v>2734.6</v>
      </c>
      <c r="AF62" s="453">
        <v>0.6</v>
      </c>
      <c r="AG62" s="622">
        <f t="shared" si="150"/>
        <v>4267.9000000000005</v>
      </c>
      <c r="AH62" s="237"/>
    </row>
    <row r="63" spans="1:34">
      <c r="A63" s="216" t="s">
        <v>388</v>
      </c>
      <c r="M63" s="177"/>
      <c r="P63" s="298">
        <f>SUM(J63:O63)</f>
        <v>0</v>
      </c>
      <c r="Q63" s="216" t="str">
        <f>A63</f>
        <v>a celle combustibile (CEC)</v>
      </c>
      <c r="R63" s="317">
        <f t="shared" si="130"/>
        <v>0</v>
      </c>
      <c r="S63" s="317">
        <f t="shared" si="131"/>
        <v>377.90251074388755</v>
      </c>
      <c r="T63" s="317">
        <f t="shared" si="132"/>
        <v>0</v>
      </c>
      <c r="U63" s="317">
        <f t="shared" si="133"/>
        <v>0</v>
      </c>
      <c r="V63" s="317">
        <f t="shared" si="134"/>
        <v>0</v>
      </c>
      <c r="W63" s="317">
        <f t="shared" si="135"/>
        <v>0</v>
      </c>
      <c r="X63" s="316">
        <f t="shared" si="136"/>
        <v>377.90251074388755</v>
      </c>
      <c r="Z63" s="239" t="s">
        <v>388</v>
      </c>
      <c r="AA63" s="453"/>
      <c r="AB63" s="453"/>
      <c r="AC63" s="453"/>
      <c r="AD63" s="453"/>
      <c r="AE63" s="453"/>
      <c r="AF63" s="453"/>
      <c r="AG63" s="622">
        <f t="shared" si="150"/>
        <v>0</v>
      </c>
      <c r="AH63" s="456"/>
    </row>
    <row r="64" spans="1:34">
      <c r="J64" s="477"/>
      <c r="K64" s="201"/>
      <c r="L64" s="201"/>
      <c r="M64" s="201"/>
      <c r="N64" s="201"/>
      <c r="O64" s="201"/>
      <c r="Q64" s="223" t="s">
        <v>10</v>
      </c>
      <c r="R64" s="225">
        <f t="shared" ref="R64" si="151">R39/J20*1000000</f>
        <v>917.120537219472</v>
      </c>
      <c r="S64" s="316">
        <f t="shared" ref="S64" si="152">S39/K20*1000000</f>
        <v>371.74533209361533</v>
      </c>
      <c r="T64" s="316">
        <f t="shared" ref="T64" si="153">T39/L20*1000000</f>
        <v>1363.7281215266648</v>
      </c>
      <c r="U64" s="316">
        <f t="shared" ref="U64" si="154">U39/M20*1000000</f>
        <v>554.5576818478188</v>
      </c>
      <c r="V64" s="316">
        <f t="shared" ref="V64" si="155">V39/N20*1000000</f>
        <v>426.78482434190448</v>
      </c>
      <c r="W64" s="316">
        <f t="shared" ref="W64" si="156">W39/O20*1000000</f>
        <v>2.7087886802915686</v>
      </c>
      <c r="X64" s="225">
        <f t="shared" ref="X64" si="157">X39/P20*1000000</f>
        <v>416.40486176944984</v>
      </c>
      <c r="AA64" s="216"/>
      <c r="AB64" s="237"/>
      <c r="AC64" s="237"/>
      <c r="AD64" s="451"/>
      <c r="AE64" s="216"/>
      <c r="AF64" s="215"/>
      <c r="AG64" s="237"/>
      <c r="AH64" s="456"/>
    </row>
    <row r="65" spans="1:34">
      <c r="J65" s="90" t="str">
        <f t="shared" ref="J65:O65" si="158">IFERROR((J13/11.63+J50)/J57,"")</f>
        <v/>
      </c>
      <c r="K65" s="90">
        <f t="shared" si="158"/>
        <v>0.66212192603617082</v>
      </c>
      <c r="L65" s="90">
        <f t="shared" si="158"/>
        <v>0.51518054943547886</v>
      </c>
      <c r="M65" s="90">
        <f t="shared" si="158"/>
        <v>0.76827797885207627</v>
      </c>
      <c r="N65" s="90">
        <f t="shared" si="158"/>
        <v>0.54096121060248914</v>
      </c>
      <c r="O65" s="90">
        <f t="shared" si="158"/>
        <v>0.57797103023334295</v>
      </c>
      <c r="P65" s="301">
        <f>P57-('5-x'!$AA$82+'5-x'!$AA$84)</f>
        <v>-1426.2100000000028</v>
      </c>
      <c r="R65" s="226">
        <f>'12'!$AI$6</f>
        <v>917.12156981121177</v>
      </c>
      <c r="S65" s="361">
        <f>'12'!$AI$7</f>
        <v>371.74528141013371</v>
      </c>
      <c r="T65" s="234"/>
      <c r="U65" s="234"/>
      <c r="V65" s="234"/>
      <c r="W65" s="234"/>
      <c r="X65" s="226">
        <f>'12'!$AI$11</f>
        <v>414.8695322013341</v>
      </c>
      <c r="Z65" s="621" t="s">
        <v>474</v>
      </c>
      <c r="AA65" s="625" t="str">
        <f t="shared" ref="AA65:AG65" si="159">IFERROR(AA57/AA50,"")</f>
        <v/>
      </c>
      <c r="AB65" s="625">
        <f t="shared" si="159"/>
        <v>0.91674661090543696</v>
      </c>
      <c r="AC65" s="625">
        <f t="shared" si="159"/>
        <v>0.99992658395125178</v>
      </c>
      <c r="AD65" s="625">
        <f t="shared" si="159"/>
        <v>0.90081080328774965</v>
      </c>
      <c r="AE65" s="625">
        <f t="shared" si="159"/>
        <v>0.76340805154214164</v>
      </c>
      <c r="AF65" s="625">
        <f t="shared" si="159"/>
        <v>0.43516920170667361</v>
      </c>
      <c r="AG65" s="625">
        <f t="shared" si="159"/>
        <v>0.86184017296960624</v>
      </c>
      <c r="AH65" s="240"/>
    </row>
    <row r="66" spans="1:34">
      <c r="J66" s="90" t="str">
        <f t="shared" ref="J66:O66" si="160">IFERROR((J14/11.63+J51)/J58,"")</f>
        <v/>
      </c>
      <c r="K66" s="90">
        <f t="shared" si="160"/>
        <v>0.72822315817487626</v>
      </c>
      <c r="L66" s="90">
        <f t="shared" si="160"/>
        <v>0.62647631476441135</v>
      </c>
      <c r="M66" s="90">
        <f t="shared" si="160"/>
        <v>0.75666380059092686</v>
      </c>
      <c r="N66" s="90">
        <f t="shared" si="160"/>
        <v>0.64286869705660388</v>
      </c>
      <c r="O66" s="90">
        <f t="shared" si="160"/>
        <v>0.57784333562917334</v>
      </c>
      <c r="P66" s="305">
        <f>(P32/41.868)-'5-x'!$AA$82</f>
        <v>-819.36529306391458</v>
      </c>
      <c r="R66" s="234">
        <f>R64-R65</f>
        <v>-1.0325917397722151E-3</v>
      </c>
      <c r="S66" s="202">
        <f>S64-S65</f>
        <v>5.0683481617852522E-5</v>
      </c>
      <c r="T66" s="202"/>
      <c r="U66" s="202"/>
      <c r="V66" s="202"/>
      <c r="W66" s="202"/>
      <c r="X66" s="227">
        <f>X64-X65</f>
        <v>1.5353295681157419</v>
      </c>
      <c r="Z66" s="239" t="s">
        <v>25</v>
      </c>
      <c r="AA66" s="626" t="str">
        <f>IFERROR(AA58/AA51,"")</f>
        <v/>
      </c>
      <c r="AB66" s="626">
        <f t="shared" ref="AB66:AG66" si="161">IFERROR(AB58/AB51,"")</f>
        <v>0.93285673308179429</v>
      </c>
      <c r="AC66" s="626">
        <f t="shared" si="161"/>
        <v>1</v>
      </c>
      <c r="AD66" s="626">
        <f t="shared" si="161"/>
        <v>0.68421052631578938</v>
      </c>
      <c r="AE66" s="626">
        <f t="shared" si="161"/>
        <v>0.55689554561369381</v>
      </c>
      <c r="AF66" s="626">
        <f t="shared" si="161"/>
        <v>0.43413607053559677</v>
      </c>
      <c r="AG66" s="625">
        <f t="shared" si="161"/>
        <v>0.7808201260055373</v>
      </c>
      <c r="AH66" s="237"/>
    </row>
    <row r="67" spans="1:34">
      <c r="J67" s="90" t="str">
        <f t="shared" ref="J67:O67" si="162">IFERROR((J15/11.63+J52)/J59,"")</f>
        <v/>
      </c>
      <c r="K67" s="90">
        <f t="shared" si="162"/>
        <v>0.79210148439845374</v>
      </c>
      <c r="L67" s="90" t="str">
        <f t="shared" si="162"/>
        <v/>
      </c>
      <c r="M67" s="90">
        <f t="shared" si="162"/>
        <v>0.83752652656460658</v>
      </c>
      <c r="N67" s="90">
        <f t="shared" si="162"/>
        <v>0.60063771861391524</v>
      </c>
      <c r="O67" s="90">
        <f t="shared" si="162"/>
        <v>0.6577448538540468</v>
      </c>
      <c r="P67" s="305">
        <f>(P25/41.868)-'5-x'!$AA$83</f>
        <v>-3978.9825286615069</v>
      </c>
      <c r="Z67" s="239" t="s">
        <v>26</v>
      </c>
      <c r="AA67" s="626" t="str">
        <f t="shared" ref="AA67:AG67" si="163">IFERROR(AA59/AA52,"")</f>
        <v/>
      </c>
      <c r="AB67" s="626">
        <f t="shared" si="163"/>
        <v>0.97470694772853039</v>
      </c>
      <c r="AC67" s="626" t="str">
        <f t="shared" si="163"/>
        <v/>
      </c>
      <c r="AD67" s="626">
        <f t="shared" si="163"/>
        <v>0.57393822393822391</v>
      </c>
      <c r="AE67" s="626">
        <f t="shared" si="163"/>
        <v>0.83403361344537819</v>
      </c>
      <c r="AF67" s="626">
        <f t="shared" si="163"/>
        <v>0.43925233644859818</v>
      </c>
      <c r="AG67" s="625">
        <f t="shared" si="163"/>
        <v>0.94890408227885203</v>
      </c>
      <c r="AH67" s="237"/>
    </row>
    <row r="68" spans="1:34">
      <c r="J68" s="90" t="str">
        <f t="shared" ref="J68:O68" si="164">IFERROR((J16/11.63+J53)/J60,"")</f>
        <v/>
      </c>
      <c r="K68" s="90">
        <f t="shared" si="164"/>
        <v>0.62815807991351669</v>
      </c>
      <c r="L68" s="90">
        <f t="shared" si="164"/>
        <v>0.52613113583947968</v>
      </c>
      <c r="M68" s="90">
        <f t="shared" si="164"/>
        <v>0.72412529630849132</v>
      </c>
      <c r="N68" s="90">
        <f t="shared" si="164"/>
        <v>0.63500054128287664</v>
      </c>
      <c r="O68" s="90">
        <f t="shared" si="164"/>
        <v>0.58114072803839256</v>
      </c>
      <c r="Z68" s="239" t="s">
        <v>27</v>
      </c>
      <c r="AA68" s="626" t="str">
        <f t="shared" ref="AA68:AG68" si="165">IFERROR(AA60/AA53,"")</f>
        <v/>
      </c>
      <c r="AB68" s="626">
        <f t="shared" si="165"/>
        <v>0.86912363756468125</v>
      </c>
      <c r="AC68" s="626">
        <f t="shared" si="165"/>
        <v>0.99985225677772027</v>
      </c>
      <c r="AD68" s="626">
        <f t="shared" si="165"/>
        <v>0.92897283201293201</v>
      </c>
      <c r="AE68" s="626">
        <f t="shared" si="165"/>
        <v>0.69218106995884776</v>
      </c>
      <c r="AF68" s="626">
        <f t="shared" si="165"/>
        <v>0.58333333333333337</v>
      </c>
      <c r="AG68" s="625">
        <f t="shared" si="165"/>
        <v>0.85732480613833784</v>
      </c>
      <c r="AH68" s="237"/>
    </row>
    <row r="69" spans="1:34">
      <c r="J69" s="90" t="str">
        <f t="shared" ref="J69:O69" si="166">IFERROR((J17/11.63+J54)/J61,"")</f>
        <v/>
      </c>
      <c r="K69" s="90">
        <f t="shared" si="166"/>
        <v>0.83979768631497576</v>
      </c>
      <c r="L69" s="90" t="str">
        <f t="shared" si="166"/>
        <v/>
      </c>
      <c r="M69" s="90">
        <f t="shared" si="166"/>
        <v>0.87341201673028412</v>
      </c>
      <c r="N69" s="90">
        <f t="shared" si="166"/>
        <v>0.7044793743739185</v>
      </c>
      <c r="O69" s="90" t="str">
        <f t="shared" si="166"/>
        <v/>
      </c>
      <c r="Z69" s="239" t="s">
        <v>28</v>
      </c>
      <c r="AA69" s="626" t="str">
        <f t="shared" ref="AA69:AG69" si="167">IFERROR(AA61/AA54,"")</f>
        <v/>
      </c>
      <c r="AB69" s="626">
        <f t="shared" si="167"/>
        <v>0.99150008462305139</v>
      </c>
      <c r="AC69" s="626" t="str">
        <f t="shared" si="167"/>
        <v/>
      </c>
      <c r="AD69" s="626">
        <f t="shared" si="167"/>
        <v>0.97856503701293418</v>
      </c>
      <c r="AE69" s="626">
        <f t="shared" si="167"/>
        <v>0.99473803326920884</v>
      </c>
      <c r="AF69" s="626" t="str">
        <f t="shared" si="167"/>
        <v/>
      </c>
      <c r="AG69" s="625">
        <f t="shared" si="167"/>
        <v>0.98851136956060015</v>
      </c>
      <c r="AH69" s="237"/>
    </row>
    <row r="70" spans="1:34">
      <c r="J70" s="90" t="str">
        <f t="shared" ref="J70:O70" si="168">IFERROR((J18/11.63+J55)/J62,"")</f>
        <v/>
      </c>
      <c r="K70" s="90">
        <f t="shared" si="168"/>
        <v>0.49643956023841629</v>
      </c>
      <c r="L70" s="90">
        <f t="shared" si="168"/>
        <v>0.46779674898755175</v>
      </c>
      <c r="M70" s="90">
        <f t="shared" si="168"/>
        <v>0.80626560229342847</v>
      </c>
      <c r="N70" s="90">
        <f t="shared" si="168"/>
        <v>0.41718777160939491</v>
      </c>
      <c r="O70" s="90">
        <f t="shared" si="168"/>
        <v>0.4514187446541702</v>
      </c>
      <c r="Z70" s="239" t="s">
        <v>29</v>
      </c>
      <c r="AA70" s="626" t="str">
        <f t="shared" ref="AA70:AG70" si="169">IFERROR(AA62/AA55,"")</f>
        <v/>
      </c>
      <c r="AB70" s="626">
        <f t="shared" si="169"/>
        <v>0.99147832530566893</v>
      </c>
      <c r="AC70" s="626">
        <f t="shared" si="169"/>
        <v>1</v>
      </c>
      <c r="AD70" s="626">
        <f t="shared" si="169"/>
        <v>0.92532795156407666</v>
      </c>
      <c r="AE70" s="626">
        <f t="shared" si="169"/>
        <v>0.83783204142283763</v>
      </c>
      <c r="AF70" s="626">
        <f t="shared" si="169"/>
        <v>0.74999999999999989</v>
      </c>
      <c r="AG70" s="625">
        <f t="shared" si="169"/>
        <v>0.87661750811321537</v>
      </c>
    </row>
    <row r="71" spans="1:34">
      <c r="J71" s="90" t="str">
        <f t="shared" ref="J71:O71" si="170">IFERROR((J19/11.63+J56)/J63,"")</f>
        <v/>
      </c>
      <c r="K71" s="90" t="str">
        <f t="shared" si="170"/>
        <v/>
      </c>
      <c r="L71" s="90" t="str">
        <f t="shared" si="170"/>
        <v/>
      </c>
      <c r="M71" s="90" t="str">
        <f t="shared" si="170"/>
        <v/>
      </c>
      <c r="N71" s="90" t="str">
        <f t="shared" si="170"/>
        <v/>
      </c>
      <c r="O71" s="90" t="str">
        <f t="shared" si="170"/>
        <v/>
      </c>
      <c r="Z71" s="239" t="s">
        <v>388</v>
      </c>
      <c r="AA71" s="626" t="str">
        <f>IFERROR(AA63/AA56,"")</f>
        <v/>
      </c>
      <c r="AB71" s="626" t="str">
        <f>IFERROR(AB63/AB56,"")</f>
        <v/>
      </c>
      <c r="AC71" s="626" t="str">
        <f>IFERROR(AC63/AC56,"")</f>
        <v/>
      </c>
      <c r="AD71" s="626" t="str">
        <f>IFERROR(AD63/AD56,"")</f>
        <v/>
      </c>
      <c r="AE71" s="626" t="str">
        <f>IFERROR(AE63/AE56,"")</f>
        <v/>
      </c>
      <c r="AF71" s="626"/>
      <c r="AG71" s="625" t="str">
        <f>IFERROR(AG63/AG56,"")</f>
        <v/>
      </c>
    </row>
    <row r="72" spans="1:34">
      <c r="A72" s="68" t="str">
        <f>A4</f>
        <v>Dati 2023 lorda</v>
      </c>
    </row>
    <row r="73" spans="1:34">
      <c r="A73" s="68" t="s">
        <v>281</v>
      </c>
      <c r="B73" s="68"/>
      <c r="C73" s="68"/>
      <c r="D73" s="68"/>
      <c r="E73" s="68"/>
      <c r="J73" s="479">
        <v>0</v>
      </c>
      <c r="K73" s="479">
        <v>8.0862779787726637</v>
      </c>
      <c r="L73" s="479">
        <v>0.38458835353691628</v>
      </c>
      <c r="M73" s="479">
        <v>1.2049585582945999</v>
      </c>
      <c r="N73" s="479">
        <v>1.7727965338009073</v>
      </c>
      <c r="O73" s="479">
        <v>7.6471828061410937E-4</v>
      </c>
      <c r="P73" s="480">
        <f>SUM(J73:O73)</f>
        <v>11.4493861426857</v>
      </c>
      <c r="Q73" t="s">
        <v>402</v>
      </c>
    </row>
    <row r="74" spans="1:34">
      <c r="A74" t="s">
        <v>282</v>
      </c>
      <c r="J74" s="211" t="str">
        <f>IFERROR(J73/(J50*11.63)*1000000,"")</f>
        <v/>
      </c>
      <c r="K74" s="211">
        <f t="shared" ref="K74:P74" si="171">IFERROR(K73/(K50*11.63)*1000000,"")</f>
        <v>238.68972457600574</v>
      </c>
      <c r="L74" s="211">
        <f t="shared" si="171"/>
        <v>705.87393266618415</v>
      </c>
      <c r="M74" s="211">
        <f t="shared" si="171"/>
        <v>239.57438953093236</v>
      </c>
      <c r="N74" s="211">
        <f t="shared" si="171"/>
        <v>212.45751961954215</v>
      </c>
      <c r="O74" s="211">
        <f t="shared" si="171"/>
        <v>0.24906956339403172</v>
      </c>
      <c r="P74" s="211">
        <f t="shared" si="171"/>
        <v>225.08590369282564</v>
      </c>
    </row>
    <row r="76" spans="1:34">
      <c r="A76" s="68" t="s">
        <v>283</v>
      </c>
      <c r="J76" s="304">
        <f t="shared" ref="J76" si="172">J73+R32</f>
        <v>0</v>
      </c>
      <c r="K76" s="304">
        <f t="shared" ref="K76" si="173">K73+S32</f>
        <v>35.353720134616893</v>
      </c>
      <c r="L76" s="304">
        <f t="shared" ref="L76" si="174">L73+T32</f>
        <v>1.9690177948543239</v>
      </c>
      <c r="M76" s="304">
        <f t="shared" ref="M76" si="175">M73+U32</f>
        <v>2.0808723740443451</v>
      </c>
      <c r="N76" s="304">
        <f t="shared" ref="N76" si="176">N73+V32</f>
        <v>6.1924571210831436</v>
      </c>
      <c r="O76" s="304">
        <f t="shared" ref="O76" si="177">O73+W32</f>
        <v>1.4200309890872486E-2</v>
      </c>
      <c r="P76" s="304">
        <f t="shared" ref="P76" si="178">P73+X32</f>
        <v>45.610267734489568</v>
      </c>
    </row>
    <row r="77" spans="1:34">
      <c r="A77" t="s">
        <v>284</v>
      </c>
      <c r="J77" s="90" t="str">
        <f>IFERROR(J76/((J50*11.63)+J13)*1000000,"")</f>
        <v/>
      </c>
      <c r="K77" s="211">
        <f t="shared" ref="K77:P77" si="179">K76/((K50*11.63)+K13)*1000000</f>
        <v>321.78101872731474</v>
      </c>
      <c r="L77" s="211">
        <f t="shared" si="179"/>
        <v>1152.2877561030687</v>
      </c>
      <c r="M77" s="211">
        <f t="shared" si="179"/>
        <v>297.30145928093441</v>
      </c>
      <c r="N77" s="211">
        <f t="shared" si="179"/>
        <v>307.8943372239151</v>
      </c>
      <c r="O77" s="211">
        <f t="shared" si="179"/>
        <v>1.6742015753691979</v>
      </c>
      <c r="P77" s="211">
        <f t="shared" si="179"/>
        <v>309.91343967927526</v>
      </c>
    </row>
    <row r="78" spans="1:34">
      <c r="J78" s="211" t="str">
        <f>IFERROR((J$534*J49*11.63/1000000+R31)/(J49*11.63+J12)*1000000,"")</f>
        <v/>
      </c>
      <c r="K78" s="198"/>
      <c r="L78" s="198"/>
      <c r="M78" s="198"/>
      <c r="N78" s="198"/>
      <c r="O78" s="198"/>
      <c r="P78" s="198"/>
    </row>
    <row r="79" spans="1:34">
      <c r="A79" t="s">
        <v>285</v>
      </c>
      <c r="J79" s="298" t="str">
        <f t="shared" ref="J79" si="180">IFERROR((J74*J50*11.63/1000000+R32)/(J50*11.63+J13)*1000000,"")</f>
        <v/>
      </c>
      <c r="K79" s="298">
        <f t="shared" ref="K79" si="181">IFERROR((K74*K50*11.63/1000000+S32)/(K50*11.63+K13)*1000000,"")</f>
        <v>321.78101872731474</v>
      </c>
      <c r="L79" s="298">
        <f t="shared" ref="L79" si="182">IFERROR((L74*L50*11.63/1000000+T32)/(L50*11.63+L13)*1000000,"")</f>
        <v>1152.2877561030687</v>
      </c>
      <c r="M79" s="298">
        <f t="shared" ref="M79" si="183">IFERROR((M74*M50*11.63/1000000+U32)/(M50*11.63+M13)*1000000,"")</f>
        <v>297.30145928093441</v>
      </c>
      <c r="N79" s="298">
        <f>IFERROR((N74*N50*11.63/1000000+V32)/(N50*11.63+N13)*1000000,"")</f>
        <v>307.89433722391516</v>
      </c>
      <c r="O79" s="298">
        <f t="shared" ref="O79" si="184">IFERROR((O74*O50*11.63/1000000+W32)/(O50*11.63+O13)*1000000,"")</f>
        <v>1.6742015753691979</v>
      </c>
      <c r="P79" s="298">
        <f t="shared" ref="P79" si="185">IFERROR((P74*P50*11.63/1000000+X32)/(P50*11.63+P13)*1000000,"")</f>
        <v>309.91343967927526</v>
      </c>
      <c r="R79" s="285" t="str">
        <f t="shared" ref="R79:R85" si="186">IFERROR(J79/R57-1,"")</f>
        <v/>
      </c>
      <c r="S79" s="285">
        <f t="shared" ref="S79:S85" si="187">IFERROR(K79/S57-1,"")</f>
        <v>-0.10323478702352895</v>
      </c>
      <c r="T79" s="285">
        <f t="shared" ref="T79:T85" si="188">IFERROR(L79/T57-1,"")</f>
        <v>-0.15350895486958838</v>
      </c>
      <c r="U79" s="285">
        <f t="shared" ref="U79:U85" si="189">IFERROR(M79/U57-1,"")</f>
        <v>-0.33147429610104961</v>
      </c>
      <c r="V79" s="285">
        <f t="shared" ref="V79:V85" si="190">IFERROR(N79/V57-1,"")</f>
        <v>-0.18018300168778545</v>
      </c>
      <c r="W79" s="285">
        <f t="shared" ref="W79:W85" si="191">IFERROR(O79/W57-1,"")</f>
        <v>-0.32567101948410604</v>
      </c>
      <c r="X79" s="285">
        <f t="shared" ref="X79:X85" si="192">IFERROR(P79/X57-1,"")</f>
        <v>-0.12631114940564891</v>
      </c>
      <c r="AE79" s="216"/>
      <c r="AF79" s="215"/>
      <c r="AG79" s="237"/>
      <c r="AH79" s="237"/>
    </row>
    <row r="80" spans="1:34">
      <c r="A80" s="216" t="s">
        <v>25</v>
      </c>
      <c r="J80" s="211" t="str">
        <f t="shared" ref="J80" si="193">IFERROR((J74*J51*11.63/1000000+R33)/(J51*11.63+J14)*1000000,"")</f>
        <v/>
      </c>
      <c r="K80" s="211">
        <f t="shared" ref="K80" si="194">IFERROR((K74*K51*11.63/1000000+S33)/(K51*11.63+K14)*1000000,"")</f>
        <v>292.96444041409234</v>
      </c>
      <c r="L80" s="211">
        <f t="shared" ref="L80" si="195">IFERROR((L74*L51*11.63/1000000+T33)/(L51*11.63+L14)*1000000,"")</f>
        <v>954.96436259773918</v>
      </c>
      <c r="M80" s="211">
        <f t="shared" ref="M80" si="196">IFERROR((M74*M51*11.63/1000000+U33)/(M51*11.63+M14)*1000000,"")</f>
        <v>308.56994243408138</v>
      </c>
      <c r="N80" s="211">
        <f t="shared" ref="N80" si="197">IFERROR((N74*N51*11.63/1000000+V33)/(N51*11.63+N14)*1000000,"")</f>
        <v>268.83896832477569</v>
      </c>
      <c r="O80" s="211">
        <f t="shared" ref="O80" si="198">IFERROR((O74*O51*11.63/1000000+W33)/(O51*11.63+O14)*1000000,"")</f>
        <v>1.6752194001256913</v>
      </c>
      <c r="P80" s="211">
        <f t="shared" ref="P80" si="199">IFERROR((P74*P51*11.63/1000000+X33)/(P51*11.63+P14)*1000000,"")</f>
        <v>237.53285845996442</v>
      </c>
      <c r="R80" s="284" t="str">
        <f t="shared" si="186"/>
        <v/>
      </c>
      <c r="S80" s="284">
        <f t="shared" si="187"/>
        <v>-0.11954899700633104</v>
      </c>
      <c r="T80" s="284">
        <f t="shared" si="188"/>
        <v>-0.14912995339918711</v>
      </c>
      <c r="U80" s="284">
        <f t="shared" si="189"/>
        <v>-0.25474460568477719</v>
      </c>
      <c r="V80" s="284">
        <f t="shared" si="190"/>
        <v>-0.23100670084838015</v>
      </c>
      <c r="W80" s="284">
        <f t="shared" si="191"/>
        <v>-0.32511653811856056</v>
      </c>
      <c r="X80" s="284">
        <f t="shared" si="192"/>
        <v>-3.6610022277743681E-2</v>
      </c>
    </row>
    <row r="81" spans="1:36">
      <c r="A81" s="216" t="s">
        <v>26</v>
      </c>
      <c r="J81" s="211" t="str">
        <f t="shared" ref="J81" si="200">IFERROR((J74*J52*11.63/1000000+R34)/(J52*11.63+J15)*1000000,"")</f>
        <v/>
      </c>
      <c r="K81" s="211">
        <f t="shared" ref="K81" si="201">IFERROR((K74*K52*11.63/1000000+S34)/(K52*11.63+K15)*1000000,"")</f>
        <v>269.55356038803848</v>
      </c>
      <c r="L81" s="211" t="str">
        <f t="shared" ref="L81" si="202">IFERROR((L74*L52*11.63/1000000+T34)/(L52*11.63+L15)*1000000,"")</f>
        <v/>
      </c>
      <c r="M81" s="211">
        <f t="shared" ref="M81" si="203">IFERROR((M74*M52*11.63/1000000+U34)/(M52*11.63+M15)*1000000,"")</f>
        <v>271.2132128921881</v>
      </c>
      <c r="N81" s="211">
        <f t="shared" ref="N81" si="204">IFERROR((N74*N52*11.63/1000000+V34)/(N52*11.63+N15)*1000000,"")</f>
        <v>290.64534929235691</v>
      </c>
      <c r="O81" s="211">
        <f t="shared" ref="O81" si="205">IFERROR((O74*O52*11.63/1000000+W34)/(O52*11.63+O15)*1000000,"")</f>
        <v>1.1777965046939147</v>
      </c>
      <c r="P81" s="211">
        <f t="shared" ref="P81" si="206">IFERROR((P74*P52*11.63/1000000+X34)/(P52*11.63+P15)*1000000,"")</f>
        <v>261.35127332343097</v>
      </c>
      <c r="R81" s="284" t="str">
        <f t="shared" si="186"/>
        <v/>
      </c>
      <c r="S81" s="284">
        <f t="shared" si="187"/>
        <v>-0.14808308290602201</v>
      </c>
      <c r="T81" s="284" t="str">
        <f t="shared" si="188"/>
        <v/>
      </c>
      <c r="U81" s="284">
        <f t="shared" si="189"/>
        <v>-0.22345360008335846</v>
      </c>
      <c r="V81" s="284">
        <f t="shared" si="190"/>
        <v>-0.39687140923646236</v>
      </c>
      <c r="W81" s="284">
        <f t="shared" si="191"/>
        <v>-0.5395613520470891</v>
      </c>
      <c r="X81" s="284">
        <f t="shared" si="192"/>
        <v>-0.1777370429133861</v>
      </c>
    </row>
    <row r="82" spans="1:36">
      <c r="A82" s="216" t="s">
        <v>27</v>
      </c>
      <c r="J82" s="211" t="str">
        <f t="shared" ref="J82" si="207">IFERROR((J74*J53*11.63/1000000+R35)/(J53*11.63+J16)*1000000,"")</f>
        <v/>
      </c>
      <c r="K82" s="211">
        <f t="shared" ref="K82" si="208">IFERROR((K74*K53*11.63/1000000+S35)/(K53*11.63+K16)*1000000,"")</f>
        <v>339.03739466129264</v>
      </c>
      <c r="L82" s="211">
        <f t="shared" ref="L82" si="209">IFERROR((L74*L53*11.63/1000000+T35)/(L53*11.63+L16)*1000000,"")</f>
        <v>1128.8585848946775</v>
      </c>
      <c r="M82" s="211">
        <f t="shared" ref="M82" si="210">IFERROR((M74*M53*11.63/1000000+U35)/(M53*11.63+M16)*1000000,"")</f>
        <v>319.37767693385524</v>
      </c>
      <c r="N82" s="211">
        <f t="shared" ref="N82" si="211">IFERROR((N74*N53*11.63/1000000+V35)/(N53*11.63+N16)*1000000,"")</f>
        <v>259.15535695969527</v>
      </c>
      <c r="O82" s="211">
        <f t="shared" ref="O82" si="212">IFERROR((O74*O53*11.63/1000000+W35)/(O53*11.63+O16)*1000000,"")</f>
        <v>1.6526782046166426</v>
      </c>
      <c r="P82" s="211">
        <f t="shared" ref="P82" si="213">IFERROR((P74*P53*11.63/1000000+X35)/(P53*11.63+P16)*1000000,"")</f>
        <v>333.60017116625863</v>
      </c>
      <c r="R82" s="284" t="str">
        <f t="shared" si="186"/>
        <v/>
      </c>
      <c r="S82" s="284">
        <f t="shared" si="187"/>
        <v>-7.3384148021726547E-2</v>
      </c>
      <c r="T82" s="284">
        <f t="shared" si="188"/>
        <v>-0.15163993297232914</v>
      </c>
      <c r="U82" s="284">
        <f t="shared" si="189"/>
        <v>-0.31511492604255353</v>
      </c>
      <c r="V82" s="284">
        <f t="shared" si="190"/>
        <v>-6.5685654118342041E-2</v>
      </c>
      <c r="W82" s="284">
        <f t="shared" si="191"/>
        <v>-0.34116422037968508</v>
      </c>
      <c r="X82" s="284">
        <f t="shared" si="192"/>
        <v>-9.3100251254313537E-2</v>
      </c>
    </row>
    <row r="83" spans="1:36">
      <c r="A83" s="216" t="s">
        <v>28</v>
      </c>
      <c r="J83" s="211"/>
      <c r="K83" s="211">
        <f t="shared" ref="K83" si="214">IFERROR((K74*K54*11.63/1000000+S36)/(K54*11.63+K17)*1000000,"")</f>
        <v>250.48588787157379</v>
      </c>
      <c r="L83" s="211" t="str">
        <f t="shared" ref="L83" si="215">IFERROR((L74*L54*11.63/1000000+T36)/(L54*11.63+L17)*1000000,"")</f>
        <v/>
      </c>
      <c r="M83" s="211">
        <f t="shared" ref="M83" si="216">IFERROR((M74*M54*11.63/1000000+U36)/(M54*11.63+M17)*1000000,"")</f>
        <v>253.23985154985141</v>
      </c>
      <c r="N83" s="211">
        <f t="shared" ref="N83" si="217">IFERROR((N74*N54*11.63/1000000+V36)/(N54*11.63+N17)*1000000,"")</f>
        <v>246.1360891832168</v>
      </c>
      <c r="O83" s="211" t="str">
        <f t="shared" ref="O83" si="218">IFERROR((O74*O54*11.63/1000000+W36)/(O54*11.63+O17)*1000000,"")</f>
        <v/>
      </c>
      <c r="P83" s="211">
        <f t="shared" ref="P83" si="219">IFERROR((P74*P54*11.63/1000000+X36)/(P54*11.63+P17)*1000000,"")</f>
        <v>245.90720650258328</v>
      </c>
      <c r="R83" s="284" t="str">
        <f t="shared" si="186"/>
        <v/>
      </c>
      <c r="S83" s="284">
        <f t="shared" si="187"/>
        <v>-0.11645459213749298</v>
      </c>
      <c r="T83" s="284" t="str">
        <f t="shared" si="188"/>
        <v/>
      </c>
      <c r="U83" s="284">
        <f t="shared" si="189"/>
        <v>-0.25853358555691852</v>
      </c>
      <c r="V83" s="284">
        <f t="shared" si="190"/>
        <v>-0.18567943182169855</v>
      </c>
      <c r="W83" s="284" t="str">
        <f t="shared" si="191"/>
        <v/>
      </c>
      <c r="X83" s="284">
        <f t="shared" si="192"/>
        <v>-0.18377940796066705</v>
      </c>
    </row>
    <row r="84" spans="1:36">
      <c r="A84" s="216" t="s">
        <v>29</v>
      </c>
      <c r="J84" s="211" t="str">
        <f t="shared" ref="J84" si="220">IFERROR((J74*J55*11.63/1000000+R37)/(J55*11.63+J18)*1000000,"")</f>
        <v/>
      </c>
      <c r="K84" s="211">
        <f t="shared" ref="K84" si="221">IFERROR((K74*K55*11.63/1000000+S37)/(K55*11.63+K18)*1000000,"")</f>
        <v>428.4663247534844</v>
      </c>
      <c r="L84" s="211">
        <f t="shared" ref="L84" si="222">IFERROR((L74*L55*11.63/1000000+T37)/(L55*11.63+L18)*1000000,"")</f>
        <v>1265.2171448002196</v>
      </c>
      <c r="M84" s="211">
        <f t="shared" ref="M84" si="223">IFERROR((M74*M55*11.63/1000000+U37)/(M55*11.63+M18)*1000000,"")</f>
        <v>278.0086363736325</v>
      </c>
      <c r="N84" s="211">
        <f t="shared" ref="N84" si="224">IFERROR((N74*N55*11.63/1000000+V37)/(N55*11.63+N18)*1000000,"")</f>
        <v>397.02112093810837</v>
      </c>
      <c r="O84" s="211">
        <f t="shared" ref="O84" si="225">IFERROR((O74*O55*11.63/1000000+W37)/(O55*11.63+O18)*1000000,"")</f>
        <v>2.3482938269386833</v>
      </c>
      <c r="P84" s="211">
        <f t="shared" ref="P84" si="226">IFERROR((P74*P55*11.63/1000000+X37)/(P55*11.63+P18)*1000000,"")</f>
        <v>435.36890404418011</v>
      </c>
      <c r="R84" s="284" t="str">
        <f t="shared" si="186"/>
        <v/>
      </c>
      <c r="S84" s="284">
        <f t="shared" si="187"/>
        <v>-0.19652378029565798</v>
      </c>
      <c r="T84" s="284">
        <f t="shared" si="188"/>
        <v>-0.14615380937776967</v>
      </c>
      <c r="U84" s="284">
        <f t="shared" si="189"/>
        <v>-0.41439149886205318</v>
      </c>
      <c r="V84" s="284">
        <f t="shared" si="190"/>
        <v>-0.28496203095603656</v>
      </c>
      <c r="W84" s="284">
        <f t="shared" si="191"/>
        <v>-0.35488633503348088</v>
      </c>
      <c r="X84" s="284">
        <f t="shared" si="192"/>
        <v>-0.30316598852036569</v>
      </c>
    </row>
    <row r="85" spans="1:36">
      <c r="A85" s="216" t="s">
        <v>388</v>
      </c>
      <c r="J85" s="211" t="str">
        <f t="shared" ref="J85" si="227">IFERROR((J74*J56*11.63/1000000+R38)/(J56*11.63+J19)*1000000,"")</f>
        <v/>
      </c>
      <c r="K85" s="211">
        <f t="shared" ref="K85" si="228">IFERROR((K74*K56*11.63/1000000+S38)/(K56*11.63+K19)*1000000,"")</f>
        <v>377.90251074388755</v>
      </c>
      <c r="L85" s="211" t="str">
        <f t="shared" ref="L85" si="229">IFERROR((L74*L56*11.63/1000000+T38)/(L56*11.63+L19)*1000000,"")</f>
        <v/>
      </c>
      <c r="M85" s="211" t="str">
        <f t="shared" ref="M85" si="230">IFERROR((M74*M56*11.63/1000000+U38)/(M56*11.63+M19)*1000000,"")</f>
        <v/>
      </c>
      <c r="N85" s="211" t="str">
        <f t="shared" ref="N85" si="231">IFERROR((N74*N56*11.63/1000000+V38)/(N56*11.63+N19)*1000000,"")</f>
        <v/>
      </c>
      <c r="O85" s="211" t="str">
        <f t="shared" ref="O85" si="232">IFERROR((O74*O56*11.63/1000000+W38)/(O56*11.63+O19)*1000000,"")</f>
        <v/>
      </c>
      <c r="P85" s="211">
        <f t="shared" ref="P85" si="233">IFERROR((P74*P56*11.63/1000000+X38)/(P56*11.63+P19)*1000000,"")</f>
        <v>377.90251074388755</v>
      </c>
      <c r="R85" s="284" t="str">
        <f t="shared" si="186"/>
        <v/>
      </c>
      <c r="S85" s="284">
        <f t="shared" si="187"/>
        <v>0</v>
      </c>
      <c r="T85" s="284" t="str">
        <f t="shared" si="188"/>
        <v/>
      </c>
      <c r="U85" s="284" t="str">
        <f t="shared" si="189"/>
        <v/>
      </c>
      <c r="V85" s="284" t="str">
        <f t="shared" si="190"/>
        <v/>
      </c>
      <c r="W85" s="284" t="str">
        <f t="shared" si="191"/>
        <v/>
      </c>
      <c r="X85" s="284">
        <f t="shared" si="192"/>
        <v>0</v>
      </c>
    </row>
    <row r="86" spans="1:36">
      <c r="J86" s="211"/>
      <c r="K86" s="211"/>
      <c r="L86" s="211"/>
      <c r="M86" s="211"/>
      <c r="N86" s="211"/>
      <c r="O86" s="211"/>
      <c r="P86" s="211"/>
    </row>
    <row r="87" spans="1:36">
      <c r="J87" s="211"/>
      <c r="K87" s="211"/>
      <c r="L87" s="211"/>
      <c r="M87" s="211"/>
      <c r="N87" s="211"/>
      <c r="O87" s="211"/>
      <c r="P87" s="211"/>
    </row>
    <row r="88" spans="1:36">
      <c r="J88" s="211"/>
      <c r="K88" s="211"/>
      <c r="L88" s="211"/>
      <c r="M88" s="211"/>
      <c r="N88" s="211"/>
      <c r="O88" s="211"/>
      <c r="P88" s="211"/>
    </row>
    <row r="89" spans="1:36">
      <c r="J89" s="211"/>
      <c r="K89" s="211"/>
      <c r="L89" s="211"/>
      <c r="M89" s="211"/>
      <c r="N89" s="211"/>
      <c r="O89" s="211"/>
      <c r="P89" s="211"/>
    </row>
    <row r="90" spans="1:36">
      <c r="J90" s="211"/>
      <c r="K90" s="211"/>
      <c r="L90" s="211"/>
      <c r="M90" s="211"/>
      <c r="N90" s="211"/>
      <c r="O90" s="211"/>
      <c r="P90" s="211"/>
    </row>
    <row r="91" spans="1:36">
      <c r="J91" s="211"/>
      <c r="K91" s="211"/>
      <c r="L91" s="211"/>
      <c r="M91" s="211"/>
      <c r="N91" s="211"/>
      <c r="O91" s="211"/>
      <c r="P91" s="211"/>
    </row>
    <row r="94" spans="1:36" ht="15.6">
      <c r="A94" s="113"/>
      <c r="B94" s="113"/>
      <c r="J94" s="284">
        <f t="shared" ref="J94:O94" si="234">J105/J112</f>
        <v>8.8469269314610878E-7</v>
      </c>
      <c r="K94" s="284">
        <f t="shared" si="234"/>
        <v>0.5864965004836501</v>
      </c>
      <c r="L94" s="284">
        <f t="shared" si="234"/>
        <v>0.98909642846079981</v>
      </c>
      <c r="M94" s="284">
        <f t="shared" si="234"/>
        <v>0.44746187717920405</v>
      </c>
      <c r="N94" s="284">
        <f t="shared" si="234"/>
        <v>0.66017535533185123</v>
      </c>
      <c r="O94" s="284">
        <f t="shared" si="234"/>
        <v>0.69259422366452228</v>
      </c>
      <c r="P94" s="284">
        <f>SUM(K105:O105)/SUM(K112:O112)</f>
        <v>0.59941223945170996</v>
      </c>
    </row>
    <row r="95" spans="1:36">
      <c r="J95" s="196">
        <f>J149*((J105/11.63)/((J105/11.63)+J142))*41.868</f>
        <v>0</v>
      </c>
      <c r="K95" s="196">
        <f t="shared" ref="K95:P95" si="235">K149*((K105/11.63)/((K105/11.63)+K142))*41.868</f>
        <v>448655.97609477059</v>
      </c>
      <c r="L95" s="196">
        <f t="shared" si="235"/>
        <v>12251.244869663376</v>
      </c>
      <c r="M95" s="196">
        <f t="shared" si="235"/>
        <v>10233.479527698268</v>
      </c>
      <c r="N95" s="196">
        <f t="shared" si="235"/>
        <v>83941.232354087537</v>
      </c>
      <c r="O95" s="196">
        <f t="shared" si="235"/>
        <v>33514.854370103523</v>
      </c>
      <c r="P95" s="196">
        <f t="shared" si="235"/>
        <v>587870.70631090004</v>
      </c>
      <c r="AJ95" s="68" t="s">
        <v>288</v>
      </c>
    </row>
    <row r="96" spans="1:36">
      <c r="A96" s="450" t="s">
        <v>490</v>
      </c>
      <c r="J96" s="68"/>
      <c r="R96" s="68" t="s">
        <v>136</v>
      </c>
      <c r="S96" s="68"/>
    </row>
    <row r="97" spans="1:43" ht="15.6">
      <c r="A97" s="68" t="s">
        <v>583</v>
      </c>
      <c r="J97" s="210" t="s">
        <v>5</v>
      </c>
      <c r="K97" s="210" t="s">
        <v>210</v>
      </c>
      <c r="L97" s="210" t="s">
        <v>211</v>
      </c>
      <c r="M97" s="210" t="s">
        <v>214</v>
      </c>
      <c r="N97" s="210" t="s">
        <v>216</v>
      </c>
      <c r="O97" s="210" t="s">
        <v>215</v>
      </c>
      <c r="P97" s="210" t="s">
        <v>213</v>
      </c>
      <c r="Q97" s="2"/>
      <c r="R97" s="210" t="s">
        <v>5</v>
      </c>
      <c r="S97" s="210" t="s">
        <v>210</v>
      </c>
      <c r="T97" s="210" t="s">
        <v>211</v>
      </c>
      <c r="U97" s="210" t="s">
        <v>214</v>
      </c>
      <c r="V97" s="210" t="s">
        <v>216</v>
      </c>
      <c r="W97" s="210" t="s">
        <v>215</v>
      </c>
      <c r="X97" s="210" t="s">
        <v>213</v>
      </c>
      <c r="AA97" s="68"/>
      <c r="AB97" s="619"/>
      <c r="AJ97" s="68"/>
      <c r="AK97" s="210" t="s">
        <v>5</v>
      </c>
      <c r="AL97" s="210" t="s">
        <v>210</v>
      </c>
      <c r="AM97" s="210" t="s">
        <v>211</v>
      </c>
      <c r="AN97" s="210" t="s">
        <v>214</v>
      </c>
      <c r="AO97" s="210" t="s">
        <v>216</v>
      </c>
      <c r="AP97" s="210" t="s">
        <v>215</v>
      </c>
      <c r="AQ97" s="210" t="s">
        <v>213</v>
      </c>
    </row>
    <row r="98" spans="1:43" ht="15.6">
      <c r="A98" s="11" t="s">
        <v>17</v>
      </c>
      <c r="J98" s="209">
        <f t="shared" ref="J98:P98" si="236">SUM(J99:J104)</f>
        <v>22606.7</v>
      </c>
      <c r="K98" s="209">
        <f t="shared" si="236"/>
        <v>58488.109999999993</v>
      </c>
      <c r="L98" s="209">
        <f t="shared" si="236"/>
        <v>17.600000000000001</v>
      </c>
      <c r="M98" s="209">
        <f t="shared" si="236"/>
        <v>2736.76</v>
      </c>
      <c r="N98" s="209">
        <f t="shared" si="236"/>
        <v>6802.1</v>
      </c>
      <c r="O98" s="209">
        <f t="shared" si="236"/>
        <v>2422.17</v>
      </c>
      <c r="P98" s="209">
        <f t="shared" si="236"/>
        <v>93073.44</v>
      </c>
      <c r="Q98" s="2"/>
      <c r="R98" s="236">
        <v>10</v>
      </c>
      <c r="S98" s="236">
        <v>6.6180000000000003</v>
      </c>
      <c r="T98" s="236">
        <v>8.9570000000000007</v>
      </c>
      <c r="U98" s="236">
        <v>9.8420000000000005</v>
      </c>
      <c r="V98" s="236">
        <v>11.452999999999999</v>
      </c>
      <c r="W98" s="236">
        <v>9.9339999999999993</v>
      </c>
      <c r="X98" s="502">
        <v>7.9740000000000002</v>
      </c>
      <c r="AA98" s="68"/>
      <c r="AC98" s="451"/>
      <c r="AJ98" s="11" t="s">
        <v>17</v>
      </c>
      <c r="AK98" s="286">
        <f t="shared" ref="AK98:AK112" si="237">IFERROR(J98*3.6/J117,"")</f>
        <v>0.36000000000000004</v>
      </c>
      <c r="AL98" s="286">
        <f t="shared" ref="AL98:AL112" si="238">IFERROR(K98*3.6/K117,"")</f>
        <v>0.54396173098980605</v>
      </c>
      <c r="AM98" s="286">
        <f t="shared" ref="AM98:AM112" si="239">IFERROR(L98*3.6/L117,"")</f>
        <v>0.40192028580998096</v>
      </c>
      <c r="AN98" s="286">
        <f t="shared" ref="AN98:AN112" si="240">IFERROR(M98*3.6/M117,"")</f>
        <v>0.36583981788226738</v>
      </c>
      <c r="AO98" s="286">
        <f t="shared" ref="AO98:AO112" si="241">IFERROR(N98*3.6/N117,"")</f>
        <v>0.31431716068592586</v>
      </c>
      <c r="AP98" s="286">
        <f t="shared" ref="AP98:AP112" si="242">IFERROR(O98*3.6/O117,"")</f>
        <v>0.36240401395470223</v>
      </c>
      <c r="AQ98" s="286">
        <f t="shared" ref="AQ98:AQ112" si="243">IFERROR(P98*3.6/P117,"")</f>
        <v>0.45144484593248257</v>
      </c>
    </row>
    <row r="99" spans="1:43" ht="15.6">
      <c r="A99" s="10" t="s">
        <v>18</v>
      </c>
      <c r="J99" s="211"/>
      <c r="K99" s="211">
        <v>157.16</v>
      </c>
      <c r="L99" s="211">
        <v>17.600000000000001</v>
      </c>
      <c r="M99" s="211">
        <v>198.15</v>
      </c>
      <c r="N99" s="211">
        <v>975.7</v>
      </c>
      <c r="O99" s="211">
        <v>2374.65</v>
      </c>
      <c r="P99" s="209">
        <f t="shared" ref="P99:P104" si="244">SUM(J99:O99)</f>
        <v>3723.26</v>
      </c>
      <c r="Q99" s="2"/>
      <c r="R99" s="654">
        <v>0</v>
      </c>
      <c r="S99" s="654">
        <v>9.6969999999999992</v>
      </c>
      <c r="T99" s="654">
        <v>8.9570000000000007</v>
      </c>
      <c r="U99" s="654">
        <v>9.4830000000000005</v>
      </c>
      <c r="V99" s="654">
        <v>8.77</v>
      </c>
      <c r="W99" s="654">
        <v>9.9250000000000007</v>
      </c>
      <c r="X99" s="236">
        <v>9.5850000000000009</v>
      </c>
      <c r="Z99" s="199"/>
      <c r="AA99" s="237"/>
      <c r="AB99" s="237"/>
      <c r="AC99" s="216"/>
      <c r="AF99" s="215"/>
      <c r="AG99" s="237"/>
      <c r="AH99" s="237"/>
      <c r="AJ99" s="10" t="s">
        <v>18</v>
      </c>
      <c r="AK99" s="56" t="str">
        <f t="shared" si="237"/>
        <v/>
      </c>
      <c r="AL99" s="56">
        <f t="shared" si="238"/>
        <v>0.3712488398473755</v>
      </c>
      <c r="AM99" s="56">
        <f t="shared" si="239"/>
        <v>0.40192028580998096</v>
      </c>
      <c r="AN99" s="56">
        <f t="shared" si="240"/>
        <v>0.37962670041126223</v>
      </c>
      <c r="AO99" s="56">
        <f t="shared" si="241"/>
        <v>0.410490307867731</v>
      </c>
      <c r="AP99" s="56">
        <f t="shared" si="242"/>
        <v>0.36272040302267</v>
      </c>
      <c r="AQ99" s="286">
        <f t="shared" si="243"/>
        <v>0.37560239618670854</v>
      </c>
    </row>
    <row r="100" spans="1:43" ht="15.6">
      <c r="A100" s="10" t="s">
        <v>19</v>
      </c>
      <c r="J100" s="211"/>
      <c r="K100" s="211">
        <v>180.15</v>
      </c>
      <c r="L100" s="211"/>
      <c r="M100" s="211">
        <v>7.73</v>
      </c>
      <c r="N100" s="211">
        <v>10.6</v>
      </c>
      <c r="O100" s="211">
        <v>34.200000000000003</v>
      </c>
      <c r="P100" s="209">
        <f t="shared" si="244"/>
        <v>232.68</v>
      </c>
      <c r="Q100" s="2"/>
      <c r="R100" s="654">
        <v>0</v>
      </c>
      <c r="S100" s="654">
        <v>10.805</v>
      </c>
      <c r="T100" s="654"/>
      <c r="U100" s="654">
        <v>15.249000000000001</v>
      </c>
      <c r="V100" s="654">
        <v>13.558</v>
      </c>
      <c r="W100" s="654">
        <v>10.879</v>
      </c>
      <c r="X100" s="236">
        <v>11.087999999999999</v>
      </c>
      <c r="Z100" s="199"/>
      <c r="AA100" s="237"/>
      <c r="AB100" s="237"/>
      <c r="AC100" s="216"/>
      <c r="AF100" s="215"/>
      <c r="AG100" s="237"/>
      <c r="AH100" s="237"/>
      <c r="AJ100" s="10" t="s">
        <v>19</v>
      </c>
      <c r="AK100" s="56" t="str">
        <f t="shared" si="237"/>
        <v/>
      </c>
      <c r="AL100" s="56">
        <f t="shared" si="238"/>
        <v>0.3331790837575197</v>
      </c>
      <c r="AM100" s="56" t="str">
        <f t="shared" si="239"/>
        <v/>
      </c>
      <c r="AN100" s="56">
        <f t="shared" si="240"/>
        <v>0.23608105449537675</v>
      </c>
      <c r="AO100" s="56">
        <f t="shared" si="241"/>
        <v>0.26552588877415545</v>
      </c>
      <c r="AP100" s="56">
        <f t="shared" si="242"/>
        <v>0.33091276771762113</v>
      </c>
      <c r="AQ100" s="286">
        <f t="shared" si="243"/>
        <v>0.32464810913467274</v>
      </c>
    </row>
    <row r="101" spans="1:43" ht="15.6">
      <c r="A101" s="10" t="s">
        <v>20</v>
      </c>
      <c r="J101" s="211">
        <v>22606.7</v>
      </c>
      <c r="K101" s="211">
        <v>3347</v>
      </c>
      <c r="L101" s="211"/>
      <c r="M101" s="211">
        <v>2524.04</v>
      </c>
      <c r="N101" s="211">
        <v>4173.5</v>
      </c>
      <c r="O101" s="211">
        <v>8.4</v>
      </c>
      <c r="P101" s="209">
        <f t="shared" si="244"/>
        <v>32659.640000000003</v>
      </c>
      <c r="Q101" s="2"/>
      <c r="R101" s="654">
        <v>10</v>
      </c>
      <c r="S101" s="654">
        <v>5.89</v>
      </c>
      <c r="T101" s="654"/>
      <c r="U101" s="654">
        <v>9.8559999999999999</v>
      </c>
      <c r="V101" s="654">
        <v>13.539</v>
      </c>
      <c r="W101" s="654">
        <v>9.08</v>
      </c>
      <c r="X101" s="236">
        <v>10.02</v>
      </c>
      <c r="Z101" s="199"/>
      <c r="AA101" s="237"/>
      <c r="AB101" s="237"/>
      <c r="AC101" s="216"/>
      <c r="AF101" s="215"/>
      <c r="AG101" s="237"/>
      <c r="AH101" s="237"/>
      <c r="AJ101" s="10" t="s">
        <v>20</v>
      </c>
      <c r="AK101" s="56">
        <f t="shared" si="237"/>
        <v>0.36000000000000004</v>
      </c>
      <c r="AL101" s="56">
        <f t="shared" si="238"/>
        <v>0.61120543293718177</v>
      </c>
      <c r="AM101" s="56" t="str">
        <f t="shared" si="239"/>
        <v/>
      </c>
      <c r="AN101" s="56">
        <f t="shared" si="240"/>
        <v>0.36525974025974028</v>
      </c>
      <c r="AO101" s="56">
        <f t="shared" si="241"/>
        <v>0.26589851539995568</v>
      </c>
      <c r="AP101" s="56">
        <f t="shared" si="242"/>
        <v>0.3964757709251101</v>
      </c>
      <c r="AQ101" s="286">
        <f t="shared" si="243"/>
        <v>0.35929300484879523</v>
      </c>
    </row>
    <row r="102" spans="1:43" ht="15.6">
      <c r="A102" s="10" t="s">
        <v>21</v>
      </c>
      <c r="J102" s="211"/>
      <c r="K102" s="211">
        <v>54803.7</v>
      </c>
      <c r="L102" s="211"/>
      <c r="M102" s="211">
        <v>6.84</v>
      </c>
      <c r="N102" s="211">
        <v>1642.3</v>
      </c>
      <c r="O102" s="211">
        <v>4.92</v>
      </c>
      <c r="P102" s="209">
        <f t="shared" si="244"/>
        <v>56457.759999999995</v>
      </c>
      <c r="Q102" s="2"/>
      <c r="R102" s="654">
        <v>0</v>
      </c>
      <c r="S102" s="654">
        <v>6.64</v>
      </c>
      <c r="T102" s="654"/>
      <c r="U102" s="654">
        <v>8.3140000000000001</v>
      </c>
      <c r="V102" s="654">
        <v>7.734</v>
      </c>
      <c r="W102" s="654">
        <v>9.0020000000000007</v>
      </c>
      <c r="X102" s="236">
        <v>6.6719999999999997</v>
      </c>
      <c r="Z102" s="199"/>
      <c r="AA102" s="237"/>
      <c r="AB102" s="237"/>
      <c r="AC102" s="216"/>
      <c r="AF102" s="215"/>
      <c r="AG102" s="237"/>
      <c r="AH102" s="237"/>
      <c r="AJ102" s="10" t="s">
        <v>21</v>
      </c>
      <c r="AK102" s="56" t="str">
        <f t="shared" si="237"/>
        <v/>
      </c>
      <c r="AL102" s="56">
        <f t="shared" si="238"/>
        <v>0.54216867469879526</v>
      </c>
      <c r="AM102" s="56" t="str">
        <f t="shared" si="239"/>
        <v/>
      </c>
      <c r="AN102" s="56">
        <f t="shared" si="240"/>
        <v>0.43300457060380082</v>
      </c>
      <c r="AO102" s="56">
        <f t="shared" si="241"/>
        <v>0.46547711404189296</v>
      </c>
      <c r="AP102" s="56">
        <f t="shared" si="242"/>
        <v>0.39991113085980889</v>
      </c>
      <c r="AQ102" s="286">
        <f t="shared" si="243"/>
        <v>0.53954958274729758</v>
      </c>
    </row>
    <row r="103" spans="1:43" ht="15.6">
      <c r="A103" s="10" t="s">
        <v>23</v>
      </c>
      <c r="J103" s="211"/>
      <c r="K103" s="211"/>
      <c r="L103" s="211"/>
      <c r="M103" s="211"/>
      <c r="N103" s="211"/>
      <c r="O103" s="211"/>
      <c r="P103" s="209">
        <f t="shared" si="244"/>
        <v>0</v>
      </c>
      <c r="Q103" s="2"/>
      <c r="R103" s="654">
        <v>0</v>
      </c>
      <c r="S103" s="654">
        <v>0</v>
      </c>
      <c r="T103" s="654">
        <v>0</v>
      </c>
      <c r="U103" s="654">
        <v>0</v>
      </c>
      <c r="V103" s="654">
        <v>0</v>
      </c>
      <c r="W103" s="654">
        <v>0</v>
      </c>
      <c r="X103" s="236">
        <v>0</v>
      </c>
      <c r="AC103" s="451"/>
      <c r="AF103" s="240"/>
      <c r="AG103" s="240"/>
      <c r="AH103" s="240"/>
      <c r="AJ103" s="10" t="s">
        <v>23</v>
      </c>
      <c r="AK103" s="56" t="str">
        <f t="shared" si="237"/>
        <v/>
      </c>
      <c r="AL103" s="56" t="str">
        <f t="shared" si="238"/>
        <v/>
      </c>
      <c r="AM103" s="56" t="str">
        <f t="shared" si="239"/>
        <v/>
      </c>
      <c r="AN103" s="56" t="str">
        <f t="shared" si="240"/>
        <v/>
      </c>
      <c r="AO103" s="56" t="str">
        <f t="shared" si="241"/>
        <v/>
      </c>
      <c r="AP103" s="56" t="str">
        <f t="shared" si="242"/>
        <v/>
      </c>
      <c r="AQ103" s="286" t="str">
        <f t="shared" si="243"/>
        <v/>
      </c>
    </row>
    <row r="104" spans="1:43" ht="15.6">
      <c r="A104" s="10" t="s">
        <v>387</v>
      </c>
      <c r="J104" s="211"/>
      <c r="K104" s="211">
        <v>0.1</v>
      </c>
      <c r="L104" s="211"/>
      <c r="M104" s="211"/>
      <c r="N104" s="211"/>
      <c r="O104" s="211"/>
      <c r="P104" s="209">
        <f t="shared" si="244"/>
        <v>0.1</v>
      </c>
      <c r="Q104" s="2"/>
      <c r="R104" s="654">
        <v>0</v>
      </c>
      <c r="S104" s="654">
        <v>7.0620000000000003</v>
      </c>
      <c r="T104" s="654"/>
      <c r="U104" s="654"/>
      <c r="V104" s="654"/>
      <c r="W104" s="654"/>
      <c r="X104" s="236">
        <v>7.0620000000000003</v>
      </c>
      <c r="Z104" s="199"/>
      <c r="AA104" s="237"/>
      <c r="AB104" s="237"/>
      <c r="AC104" s="451"/>
      <c r="AF104" s="215"/>
      <c r="AG104" s="237"/>
      <c r="AH104" s="237"/>
      <c r="AJ104" s="10" t="s">
        <v>387</v>
      </c>
      <c r="AK104" s="56" t="str">
        <f t="shared" si="237"/>
        <v/>
      </c>
      <c r="AL104" s="56" t="str">
        <f t="shared" si="238"/>
        <v/>
      </c>
      <c r="AM104" s="56" t="str">
        <f t="shared" si="239"/>
        <v/>
      </c>
      <c r="AN104" s="56" t="str">
        <f t="shared" si="240"/>
        <v/>
      </c>
      <c r="AO104" s="56" t="str">
        <f t="shared" si="241"/>
        <v/>
      </c>
      <c r="AP104" s="56" t="str">
        <f t="shared" si="242"/>
        <v/>
      </c>
      <c r="AQ104" s="286" t="str">
        <f t="shared" si="243"/>
        <v/>
      </c>
    </row>
    <row r="105" spans="1:43" ht="15.6">
      <c r="A105" s="11" t="s">
        <v>24</v>
      </c>
      <c r="J105" s="209">
        <f t="shared" ref="J105:P105" si="245">SUM(J106:J111)</f>
        <v>0.02</v>
      </c>
      <c r="K105" s="209">
        <f t="shared" si="245"/>
        <v>82957.149999999994</v>
      </c>
      <c r="L105" s="209">
        <f t="shared" si="245"/>
        <v>1596.5500000000002</v>
      </c>
      <c r="M105" s="209">
        <f t="shared" si="245"/>
        <v>2216.3100000000004</v>
      </c>
      <c r="N105" s="209">
        <f t="shared" si="245"/>
        <v>13214.4</v>
      </c>
      <c r="O105" s="209">
        <f t="shared" si="245"/>
        <v>5457.22</v>
      </c>
      <c r="P105" s="209">
        <f t="shared" si="245"/>
        <v>105441.65</v>
      </c>
      <c r="Q105" s="2"/>
      <c r="R105" s="236">
        <v>0</v>
      </c>
      <c r="S105" s="236">
        <v>6.03</v>
      </c>
      <c r="T105" s="236">
        <v>9.0139999999999993</v>
      </c>
      <c r="U105" s="236">
        <v>6.1029999999999998</v>
      </c>
      <c r="V105" s="236">
        <v>8.0090000000000003</v>
      </c>
      <c r="W105" s="236">
        <v>7.42</v>
      </c>
      <c r="X105" s="502">
        <v>6.3970000000000002</v>
      </c>
      <c r="Z105" s="199"/>
      <c r="AA105" s="470"/>
      <c r="AB105" s="388"/>
      <c r="AC105" s="451"/>
      <c r="AF105" s="240"/>
      <c r="AG105" s="240"/>
      <c r="AH105" s="240"/>
      <c r="AJ105" s="11" t="s">
        <v>24</v>
      </c>
      <c r="AK105" s="286" t="str">
        <f t="shared" si="237"/>
        <v/>
      </c>
      <c r="AL105" s="286">
        <f t="shared" si="238"/>
        <v>0.59706010497540918</v>
      </c>
      <c r="AM105" s="286">
        <f t="shared" si="239"/>
        <v>0.39938899580536563</v>
      </c>
      <c r="AN105" s="286">
        <f t="shared" si="240"/>
        <v>0.58989515986990326</v>
      </c>
      <c r="AO105" s="286">
        <f t="shared" si="241"/>
        <v>0.44953972177837098</v>
      </c>
      <c r="AP105" s="286">
        <f t="shared" si="242"/>
        <v>0.48518258187894681</v>
      </c>
      <c r="AQ105" s="286">
        <f t="shared" si="243"/>
        <v>0.56283429930594187</v>
      </c>
    </row>
    <row r="106" spans="1:43" ht="15.6">
      <c r="A106" s="10" t="s">
        <v>25</v>
      </c>
      <c r="J106" s="211"/>
      <c r="K106" s="211">
        <v>12121.9</v>
      </c>
      <c r="L106" s="211">
        <v>158.44999999999999</v>
      </c>
      <c r="M106" s="211">
        <v>10.1</v>
      </c>
      <c r="N106" s="211">
        <v>950.5</v>
      </c>
      <c r="O106" s="211">
        <v>5419.8</v>
      </c>
      <c r="P106" s="209">
        <f t="shared" ref="P106:P111" si="246">SUM(J106:O106)</f>
        <v>18660.75</v>
      </c>
      <c r="Q106" s="2"/>
      <c r="R106" s="654">
        <v>0</v>
      </c>
      <c r="S106" s="654">
        <v>5.6390000000000002</v>
      </c>
      <c r="T106" s="654">
        <v>7.3819999999999997</v>
      </c>
      <c r="U106" s="654">
        <v>5.9989999999999997</v>
      </c>
      <c r="V106" s="654">
        <v>7.8109999999999999</v>
      </c>
      <c r="W106" s="654">
        <v>7.4169999999999998</v>
      </c>
      <c r="X106" s="236">
        <v>6.2850000000000001</v>
      </c>
      <c r="Z106" s="199"/>
      <c r="AA106" s="237"/>
      <c r="AB106" s="237"/>
      <c r="AC106" s="216"/>
      <c r="AF106" s="215"/>
      <c r="AG106" s="237"/>
      <c r="AH106" s="237"/>
      <c r="AJ106" s="10" t="s">
        <v>25</v>
      </c>
      <c r="AK106" s="56" t="str">
        <f t="shared" si="237"/>
        <v/>
      </c>
      <c r="AL106" s="56">
        <f t="shared" si="238"/>
        <v>0.63841106579180695</v>
      </c>
      <c r="AM106" s="56">
        <f t="shared" si="239"/>
        <v>0.48767271742075319</v>
      </c>
      <c r="AN106" s="56">
        <f t="shared" si="240"/>
        <v>0.60010001666944501</v>
      </c>
      <c r="AO106" s="56">
        <f t="shared" si="241"/>
        <v>0.46088849059019338</v>
      </c>
      <c r="AP106" s="56">
        <f t="shared" si="242"/>
        <v>0.48537144398004589</v>
      </c>
      <c r="AQ106" s="286">
        <f t="shared" si="243"/>
        <v>0.57315467966133626</v>
      </c>
    </row>
    <row r="107" spans="1:43" ht="15.6">
      <c r="A107" s="10" t="s">
        <v>26</v>
      </c>
      <c r="J107" s="211"/>
      <c r="K107" s="211">
        <v>6059</v>
      </c>
      <c r="L107" s="211"/>
      <c r="M107" s="211">
        <v>484.8</v>
      </c>
      <c r="N107" s="211">
        <v>19.3</v>
      </c>
      <c r="O107" s="211">
        <v>2.9</v>
      </c>
      <c r="P107" s="209">
        <f t="shared" si="246"/>
        <v>6566</v>
      </c>
      <c r="Q107" s="2"/>
      <c r="R107" s="654">
        <v>0</v>
      </c>
      <c r="S107" s="654">
        <v>5.3819999999999997</v>
      </c>
      <c r="T107" s="654">
        <v>4.8730000000000002</v>
      </c>
      <c r="U107" s="654">
        <v>5.1879999999999997</v>
      </c>
      <c r="V107" s="654">
        <v>9.98</v>
      </c>
      <c r="W107" s="654">
        <v>6.2450000000000001</v>
      </c>
      <c r="X107" s="236">
        <v>5.3819999999999997</v>
      </c>
      <c r="Z107" s="199"/>
      <c r="AA107" s="237"/>
      <c r="AB107" s="237"/>
      <c r="AC107" s="216"/>
      <c r="AF107" s="215"/>
      <c r="AG107" s="237"/>
      <c r="AH107" s="237"/>
      <c r="AJ107" s="10" t="s">
        <v>26</v>
      </c>
      <c r="AK107" s="56" t="str">
        <f t="shared" si="237"/>
        <v/>
      </c>
      <c r="AL107" s="56">
        <f t="shared" si="238"/>
        <v>0.66889632107023422</v>
      </c>
      <c r="AM107" s="56" t="str">
        <f t="shared" si="239"/>
        <v/>
      </c>
      <c r="AN107" s="56">
        <f t="shared" si="240"/>
        <v>0.69390902081727068</v>
      </c>
      <c r="AO107" s="56">
        <f t="shared" si="241"/>
        <v>0.36072144288577157</v>
      </c>
      <c r="AP107" s="56">
        <f t="shared" si="242"/>
        <v>0.57646116893514809</v>
      </c>
      <c r="AQ107" s="286">
        <f t="shared" si="243"/>
        <v>0.66894945924335514</v>
      </c>
    </row>
    <row r="108" spans="1:43" ht="15.6">
      <c r="A108" s="10" t="s">
        <v>27</v>
      </c>
      <c r="J108" s="211"/>
      <c r="K108" s="211">
        <v>63358.7</v>
      </c>
      <c r="L108" s="211">
        <v>682.2</v>
      </c>
      <c r="M108" s="211">
        <v>1368.8</v>
      </c>
      <c r="N108" s="211">
        <v>7516.2</v>
      </c>
      <c r="O108" s="211">
        <v>32.4</v>
      </c>
      <c r="P108" s="209">
        <f t="shared" si="246"/>
        <v>72958.299999999988</v>
      </c>
      <c r="Q108" s="2"/>
      <c r="R108" s="654">
        <v>0</v>
      </c>
      <c r="S108" s="654">
        <v>6.1319999999999997</v>
      </c>
      <c r="T108" s="654">
        <v>8.577</v>
      </c>
      <c r="U108" s="654">
        <v>6.532</v>
      </c>
      <c r="V108" s="654">
        <v>5.9290000000000003</v>
      </c>
      <c r="W108" s="654">
        <v>7.7619999999999996</v>
      </c>
      <c r="X108" s="236">
        <v>6.1420000000000003</v>
      </c>
      <c r="Z108" s="199"/>
      <c r="AA108" s="237"/>
      <c r="AB108" s="237"/>
      <c r="AC108" s="216"/>
      <c r="AF108" s="215"/>
      <c r="AG108" s="237"/>
      <c r="AH108" s="237"/>
      <c r="AJ108" s="10" t="s">
        <v>27</v>
      </c>
      <c r="AK108" s="56" t="str">
        <f t="shared" si="237"/>
        <v/>
      </c>
      <c r="AL108" s="56">
        <f t="shared" si="238"/>
        <v>0.58708414872798442</v>
      </c>
      <c r="AM108" s="56">
        <f t="shared" si="239"/>
        <v>0.41972717733473242</v>
      </c>
      <c r="AN108" s="56">
        <f t="shared" si="240"/>
        <v>0.55113288426209439</v>
      </c>
      <c r="AO108" s="56">
        <f t="shared" si="241"/>
        <v>0.60718502276943831</v>
      </c>
      <c r="AP108" s="56">
        <f t="shared" si="242"/>
        <v>0.46379799020870915</v>
      </c>
      <c r="AQ108" s="286">
        <f t="shared" si="243"/>
        <v>0.58611137270854163</v>
      </c>
    </row>
    <row r="109" spans="1:43" ht="15.6">
      <c r="A109" s="10" t="s">
        <v>28</v>
      </c>
      <c r="J109" s="211">
        <v>0.01</v>
      </c>
      <c r="K109" s="211">
        <v>447.01</v>
      </c>
      <c r="L109" s="211"/>
      <c r="M109" s="211">
        <v>177</v>
      </c>
      <c r="N109" s="211">
        <v>661</v>
      </c>
      <c r="O109" s="211">
        <v>0.01</v>
      </c>
      <c r="P109" s="209">
        <f t="shared" si="246"/>
        <v>1285.03</v>
      </c>
      <c r="Q109" s="2"/>
      <c r="R109" s="654">
        <v>0</v>
      </c>
      <c r="S109" s="654">
        <v>4.7359999999999998</v>
      </c>
      <c r="T109" s="654">
        <v>0</v>
      </c>
      <c r="U109" s="654">
        <v>5.0549999999999997</v>
      </c>
      <c r="V109" s="654">
        <v>5.6950000000000003</v>
      </c>
      <c r="W109" s="654">
        <v>0</v>
      </c>
      <c r="X109" s="236">
        <v>5.2729999999999997</v>
      </c>
      <c r="Z109" s="199"/>
      <c r="AA109" s="237"/>
      <c r="AB109" s="237"/>
      <c r="AC109" s="216"/>
      <c r="AF109" s="240"/>
      <c r="AG109" s="240"/>
      <c r="AH109" s="240"/>
      <c r="AJ109" s="10" t="s">
        <v>28</v>
      </c>
      <c r="AK109" s="56" t="str">
        <f t="shared" si="237"/>
        <v/>
      </c>
      <c r="AL109" s="56">
        <f t="shared" si="238"/>
        <v>0.76013513513513531</v>
      </c>
      <c r="AM109" s="56" t="str">
        <f t="shared" si="239"/>
        <v/>
      </c>
      <c r="AN109" s="56">
        <f t="shared" si="240"/>
        <v>0.71216617210682509</v>
      </c>
      <c r="AO109" s="56">
        <f t="shared" si="241"/>
        <v>0.6321334503950834</v>
      </c>
      <c r="AP109" s="56" t="str">
        <f t="shared" si="242"/>
        <v/>
      </c>
      <c r="AQ109" s="286">
        <f t="shared" si="243"/>
        <v>0.68270253504997991</v>
      </c>
    </row>
    <row r="110" spans="1:43" ht="15.6">
      <c r="A110" s="10" t="s">
        <v>29</v>
      </c>
      <c r="J110" s="211">
        <v>0.01</v>
      </c>
      <c r="K110" s="211">
        <v>970.34</v>
      </c>
      <c r="L110" s="211">
        <v>755.9</v>
      </c>
      <c r="M110" s="211">
        <v>175.6</v>
      </c>
      <c r="N110" s="211">
        <v>4067.4</v>
      </c>
      <c r="O110" s="211">
        <v>2.1</v>
      </c>
      <c r="P110" s="209">
        <f t="shared" si="246"/>
        <v>5971.35</v>
      </c>
      <c r="Q110" s="2"/>
      <c r="R110" s="654">
        <v>0</v>
      </c>
      <c r="S110" s="654">
        <v>8.859</v>
      </c>
      <c r="T110" s="654">
        <v>9.75</v>
      </c>
      <c r="U110" s="654">
        <v>6.3449999999999998</v>
      </c>
      <c r="V110" s="654">
        <v>12.263</v>
      </c>
      <c r="W110" s="654">
        <v>11.286</v>
      </c>
      <c r="X110" s="236">
        <v>11.218</v>
      </c>
      <c r="AA110" s="470"/>
      <c r="AB110" s="388"/>
      <c r="AC110" s="451"/>
      <c r="AJ110" s="10" t="s">
        <v>29</v>
      </c>
      <c r="AK110" s="56" t="str">
        <f t="shared" si="237"/>
        <v/>
      </c>
      <c r="AL110" s="56">
        <f t="shared" si="238"/>
        <v>0.40636640704368437</v>
      </c>
      <c r="AM110" s="56">
        <f t="shared" si="239"/>
        <v>0.3692307692307692</v>
      </c>
      <c r="AN110" s="56">
        <f t="shared" si="240"/>
        <v>0.56737588652482263</v>
      </c>
      <c r="AO110" s="56">
        <f t="shared" si="241"/>
        <v>0.29356601157954826</v>
      </c>
      <c r="AP110" s="56">
        <f t="shared" si="242"/>
        <v>0.31897926634768742</v>
      </c>
      <c r="AQ110" s="286">
        <f t="shared" si="243"/>
        <v>0.32093163977101224</v>
      </c>
    </row>
    <row r="111" spans="1:43" ht="15.6">
      <c r="A111" s="10" t="s">
        <v>389</v>
      </c>
      <c r="J111" s="211"/>
      <c r="K111" s="211">
        <v>0.2</v>
      </c>
      <c r="L111" s="211"/>
      <c r="M111" s="211">
        <v>0.01</v>
      </c>
      <c r="N111" s="211">
        <v>0</v>
      </c>
      <c r="O111" s="211">
        <v>0.01</v>
      </c>
      <c r="P111" s="209">
        <f t="shared" si="246"/>
        <v>0.22000000000000003</v>
      </c>
      <c r="Q111" s="2"/>
      <c r="R111" s="654">
        <v>0</v>
      </c>
      <c r="S111" s="654">
        <v>7.1779999999999999</v>
      </c>
      <c r="T111" s="654">
        <v>0</v>
      </c>
      <c r="U111" s="654">
        <v>0</v>
      </c>
      <c r="V111" s="654">
        <v>0</v>
      </c>
      <c r="W111" s="654">
        <v>0</v>
      </c>
      <c r="X111" s="236">
        <v>7.1779999999999999</v>
      </c>
      <c r="Z111" s="199"/>
      <c r="AA111" s="237"/>
      <c r="AB111" s="237"/>
      <c r="AC111" s="216"/>
      <c r="AF111" s="237"/>
      <c r="AG111" s="237"/>
      <c r="AH111" s="237"/>
      <c r="AJ111" s="10" t="s">
        <v>389</v>
      </c>
      <c r="AK111" s="56" t="str">
        <f t="shared" si="237"/>
        <v/>
      </c>
      <c r="AL111" s="56">
        <f t="shared" si="238"/>
        <v>0.50153246029534693</v>
      </c>
      <c r="AM111" s="56" t="str">
        <f t="shared" si="239"/>
        <v/>
      </c>
      <c r="AN111" s="56" t="str">
        <f t="shared" si="240"/>
        <v/>
      </c>
      <c r="AO111" s="56" t="str">
        <f t="shared" si="241"/>
        <v/>
      </c>
      <c r="AP111" s="56" t="str">
        <f t="shared" si="242"/>
        <v/>
      </c>
      <c r="AQ111" s="286">
        <f t="shared" si="243"/>
        <v>0.55168570632488168</v>
      </c>
    </row>
    <row r="112" spans="1:43" ht="15.6">
      <c r="A112" s="11" t="s">
        <v>10</v>
      </c>
      <c r="J112" s="209">
        <f t="shared" ref="J112:O112" si="247">J98+J105</f>
        <v>22606.720000000001</v>
      </c>
      <c r="K112" s="209">
        <f t="shared" si="247"/>
        <v>141445.25999999998</v>
      </c>
      <c r="L112" s="209">
        <f t="shared" si="247"/>
        <v>1614.15</v>
      </c>
      <c r="M112" s="209">
        <f t="shared" si="247"/>
        <v>4953.0700000000006</v>
      </c>
      <c r="N112" s="209">
        <f t="shared" si="247"/>
        <v>20016.5</v>
      </c>
      <c r="O112" s="209">
        <f t="shared" si="247"/>
        <v>7879.39</v>
      </c>
      <c r="P112" s="209">
        <f>P98+P105</f>
        <v>198515.09</v>
      </c>
      <c r="Q112" s="2"/>
      <c r="R112" s="236">
        <v>10</v>
      </c>
      <c r="S112" s="236">
        <v>6.2729999999999997</v>
      </c>
      <c r="T112" s="236">
        <v>9.0129999999999999</v>
      </c>
      <c r="U112" s="236">
        <v>8.1690000000000005</v>
      </c>
      <c r="V112" s="236">
        <v>9.1790000000000003</v>
      </c>
      <c r="W112" s="236">
        <v>8.1929999999999996</v>
      </c>
      <c r="X112" s="236">
        <v>7.1369999999999996</v>
      </c>
      <c r="Z112" s="199"/>
      <c r="AA112" s="237"/>
      <c r="AB112" s="237"/>
      <c r="AC112" s="216"/>
      <c r="AF112" s="237"/>
      <c r="AG112" s="237"/>
      <c r="AH112" s="237"/>
      <c r="AJ112" s="11" t="s">
        <v>10</v>
      </c>
      <c r="AK112" s="286">
        <f t="shared" si="237"/>
        <v>0.36000031848965136</v>
      </c>
      <c r="AL112" s="286">
        <f t="shared" si="238"/>
        <v>0.57389550076530338</v>
      </c>
      <c r="AM112" s="286">
        <f t="shared" si="239"/>
        <v>0.39941642396535659</v>
      </c>
      <c r="AN112" s="286">
        <f t="shared" si="240"/>
        <v>0.44074750190526901</v>
      </c>
      <c r="AO112" s="286">
        <f t="shared" si="241"/>
        <v>0.39220138871906757</v>
      </c>
      <c r="AP112" s="286">
        <f t="shared" si="242"/>
        <v>0.43941896081648973</v>
      </c>
      <c r="AQ112" s="286">
        <f t="shared" si="243"/>
        <v>0.50447485612828402</v>
      </c>
    </row>
    <row r="113" spans="1:43">
      <c r="J113" s="177">
        <f t="shared" ref="J113:P113" si="248">J105/11.63</f>
        <v>1.7196904557179706E-3</v>
      </c>
      <c r="K113" s="177">
        <f t="shared" si="248"/>
        <v>7133.0309544282018</v>
      </c>
      <c r="L113" s="177">
        <f t="shared" si="248"/>
        <v>137.2785898538263</v>
      </c>
      <c r="M113" s="177">
        <f t="shared" si="248"/>
        <v>190.56835769561482</v>
      </c>
      <c r="N113" s="177">
        <f t="shared" si="248"/>
        <v>1136.2338779019776</v>
      </c>
      <c r="O113" s="177">
        <f t="shared" si="248"/>
        <v>469.23645743766122</v>
      </c>
      <c r="P113" s="177">
        <f t="shared" si="248"/>
        <v>9066.3499570077383</v>
      </c>
      <c r="Z113" s="199"/>
      <c r="AA113" s="237"/>
      <c r="AB113" s="237"/>
      <c r="AC113" s="216"/>
      <c r="AF113" s="237"/>
      <c r="AG113" s="237"/>
      <c r="AH113" s="237"/>
    </row>
    <row r="114" spans="1:43">
      <c r="J114" s="56"/>
      <c r="K114" s="56">
        <f>SUM(K105:M105)/SUM(K112:M112)</f>
        <v>0.58623441753019745</v>
      </c>
      <c r="L114" s="56"/>
      <c r="M114" s="56"/>
      <c r="N114" s="56">
        <f>N105/N112</f>
        <v>0.66017535533185123</v>
      </c>
      <c r="O114" s="56">
        <f>O105/O112</f>
        <v>0.69259422366452228</v>
      </c>
      <c r="Z114" s="199"/>
      <c r="AA114" s="237"/>
      <c r="AB114" s="237"/>
      <c r="AC114" s="216"/>
      <c r="AF114" s="237"/>
      <c r="AG114" s="237"/>
      <c r="AH114" s="237"/>
      <c r="AJ114" s="68"/>
    </row>
    <row r="115" spans="1:43">
      <c r="A115" s="68" t="str">
        <f>$A$96</f>
        <v>Dati 2022 lorda</v>
      </c>
      <c r="J115" s="68"/>
      <c r="K115" s="56">
        <f>(SUM(K124:M124)/41.868)/SUM(K149:M149)</f>
        <v>0.75180573516449178</v>
      </c>
      <c r="L115" s="56"/>
      <c r="M115" s="56"/>
      <c r="N115" s="56">
        <f>(N124/41.868)/N149</f>
        <v>0.71666934701227647</v>
      </c>
      <c r="O115" s="56">
        <f>(O124/41.868)/O149</f>
        <v>0.75337199561001922</v>
      </c>
      <c r="Z115" s="199"/>
      <c r="AA115" s="237"/>
      <c r="AB115" s="237"/>
      <c r="AC115" s="216"/>
      <c r="AF115" s="237"/>
      <c r="AG115" s="237"/>
      <c r="AH115" s="237"/>
      <c r="AJ115" s="68"/>
    </row>
    <row r="116" spans="1:43">
      <c r="A116" s="68" t="s">
        <v>584</v>
      </c>
      <c r="J116" s="210" t="s">
        <v>5</v>
      </c>
      <c r="K116" s="210" t="s">
        <v>210</v>
      </c>
      <c r="L116" s="210" t="s">
        <v>211</v>
      </c>
      <c r="M116" s="210" t="s">
        <v>214</v>
      </c>
      <c r="N116" s="210" t="s">
        <v>216</v>
      </c>
      <c r="O116" s="210" t="s">
        <v>215</v>
      </c>
      <c r="P116" s="210" t="s">
        <v>213</v>
      </c>
      <c r="R116" s="68" t="s">
        <v>234</v>
      </c>
      <c r="Z116" s="199"/>
      <c r="AA116" s="237"/>
      <c r="AB116" s="237"/>
      <c r="AC116" s="216"/>
      <c r="AF116" s="237"/>
      <c r="AG116" s="237"/>
      <c r="AH116" s="237"/>
      <c r="AJ116" s="68"/>
    </row>
    <row r="117" spans="1:43">
      <c r="A117" s="11" t="s">
        <v>17</v>
      </c>
      <c r="J117" s="209">
        <f t="shared" ref="J117:O117" si="249">SUM(J118:J122)</f>
        <v>226067</v>
      </c>
      <c r="K117" s="209">
        <f t="shared" si="249"/>
        <v>387080.89926999999</v>
      </c>
      <c r="L117" s="209">
        <f t="shared" si="249"/>
        <v>157.64320000000004</v>
      </c>
      <c r="M117" s="209">
        <f t="shared" si="249"/>
        <v>26930.737220000003</v>
      </c>
      <c r="N117" s="209">
        <f t="shared" si="249"/>
        <v>77907.1685</v>
      </c>
      <c r="O117" s="209">
        <f t="shared" si="249"/>
        <v>24061.024890000004</v>
      </c>
      <c r="P117" s="212">
        <f t="shared" ref="P117:P122" si="250">SUM(J117:O117)</f>
        <v>742204.47308000003</v>
      </c>
      <c r="Q117" s="202"/>
      <c r="R117" s="209">
        <f t="shared" ref="R117:W117" si="251">SUM(R118:R122)</f>
        <v>21.07648523858181</v>
      </c>
      <c r="S117" s="209">
        <f t="shared" si="251"/>
        <v>22.806789071559905</v>
      </c>
      <c r="T117" s="209">
        <f t="shared" si="251"/>
        <v>2.773236894334611E-2</v>
      </c>
      <c r="U117" s="209">
        <f t="shared" si="251"/>
        <v>1.9085232693276808</v>
      </c>
      <c r="V117" s="209">
        <f t="shared" si="251"/>
        <v>3.3407147440866369</v>
      </c>
      <c r="W117" s="209">
        <f t="shared" si="251"/>
        <v>1.0901652316375987E-2</v>
      </c>
      <c r="X117" s="220">
        <f>SUM(R117:W117)</f>
        <v>49.17114634481576</v>
      </c>
      <c r="Z117" s="199"/>
      <c r="AA117" s="235"/>
      <c r="AB117" s="620"/>
      <c r="AC117" s="223"/>
      <c r="AJ117" s="68"/>
    </row>
    <row r="118" spans="1:43">
      <c r="A118" s="10" t="s">
        <v>18</v>
      </c>
      <c r="J118" s="197">
        <f t="shared" ref="J118:O122" si="252">IFERROR(J99*R99,"")</f>
        <v>0</v>
      </c>
      <c r="K118" s="197">
        <f t="shared" si="252"/>
        <v>1523.9805199999998</v>
      </c>
      <c r="L118" s="197">
        <f t="shared" si="252"/>
        <v>157.64320000000004</v>
      </c>
      <c r="M118" s="197">
        <f t="shared" si="252"/>
        <v>1879.0564500000003</v>
      </c>
      <c r="N118" s="197">
        <f t="shared" si="252"/>
        <v>8556.8889999999992</v>
      </c>
      <c r="O118" s="197">
        <f t="shared" si="252"/>
        <v>23568.401250000003</v>
      </c>
      <c r="P118" s="212">
        <f t="shared" si="250"/>
        <v>35685.970419999998</v>
      </c>
      <c r="Q118" s="202"/>
      <c r="R118" s="211">
        <f t="shared" ref="R118:W118" si="253">J118*J134/1000000</f>
        <v>0</v>
      </c>
      <c r="S118" s="211">
        <f t="shared" si="253"/>
        <v>8.9792863286085586E-2</v>
      </c>
      <c r="T118" s="211">
        <f t="shared" si="253"/>
        <v>2.773236894334611E-2</v>
      </c>
      <c r="U118" s="211">
        <f t="shared" si="253"/>
        <v>0.13316467833424081</v>
      </c>
      <c r="V118" s="211">
        <f t="shared" si="253"/>
        <v>0.36692548062265612</v>
      </c>
      <c r="W118" s="211">
        <f t="shared" si="253"/>
        <v>1.0678452694969188E-2</v>
      </c>
      <c r="X118" s="220">
        <f t="shared" ref="X118:X123" si="254">SUM(R118:W118)</f>
        <v>0.62829384388129783</v>
      </c>
      <c r="Z118" s="199"/>
      <c r="AA118" s="470"/>
      <c r="AB118" s="388"/>
      <c r="AC118" s="451"/>
      <c r="AJ118" s="68"/>
      <c r="AQ118" s="282"/>
    </row>
    <row r="119" spans="1:43">
      <c r="A119" s="10" t="s">
        <v>19</v>
      </c>
      <c r="J119" s="197">
        <f t="shared" si="252"/>
        <v>0</v>
      </c>
      <c r="K119" s="197">
        <f t="shared" si="252"/>
        <v>1946.5207499999999</v>
      </c>
      <c r="L119" s="197">
        <f t="shared" si="252"/>
        <v>0</v>
      </c>
      <c r="M119" s="197">
        <f t="shared" si="252"/>
        <v>117.87477000000001</v>
      </c>
      <c r="N119" s="197">
        <f t="shared" si="252"/>
        <v>143.7148</v>
      </c>
      <c r="O119" s="197">
        <f t="shared" si="252"/>
        <v>372.06180000000001</v>
      </c>
      <c r="P119" s="212">
        <f t="shared" si="250"/>
        <v>2580.1721200000002</v>
      </c>
      <c r="Q119" s="202"/>
      <c r="R119" s="211">
        <f t="shared" ref="R119:W119" si="255">J119*J134/1000000</f>
        <v>0</v>
      </c>
      <c r="S119" s="211">
        <f t="shared" si="255"/>
        <v>0.11468891451990397</v>
      </c>
      <c r="T119" s="211">
        <f t="shared" si="255"/>
        <v>0</v>
      </c>
      <c r="U119" s="211">
        <f t="shared" si="255"/>
        <v>8.3535307471857053E-3</v>
      </c>
      <c r="V119" s="211">
        <f t="shared" si="255"/>
        <v>6.1625927439971353E-3</v>
      </c>
      <c r="W119" s="211">
        <f t="shared" si="255"/>
        <v>1.6857504625627021E-4</v>
      </c>
      <c r="X119" s="220">
        <f t="shared" si="254"/>
        <v>0.12937361305734307</v>
      </c>
      <c r="Z119" s="199"/>
      <c r="AA119" s="237"/>
      <c r="AB119" s="237"/>
      <c r="AC119" s="216"/>
      <c r="AF119" s="237"/>
      <c r="AG119" s="237"/>
      <c r="AH119" s="237"/>
      <c r="AJ119" s="68" t="s">
        <v>289</v>
      </c>
    </row>
    <row r="120" spans="1:43">
      <c r="A120" s="10" t="s">
        <v>20</v>
      </c>
      <c r="J120" s="197">
        <f t="shared" si="252"/>
        <v>226067</v>
      </c>
      <c r="K120" s="197">
        <f t="shared" si="252"/>
        <v>19713.829999999998</v>
      </c>
      <c r="L120" s="197">
        <f t="shared" si="252"/>
        <v>0</v>
      </c>
      <c r="M120" s="197">
        <f t="shared" si="252"/>
        <v>24876.938239999999</v>
      </c>
      <c r="N120" s="197">
        <f t="shared" si="252"/>
        <v>56505.016499999998</v>
      </c>
      <c r="O120" s="197">
        <f t="shared" si="252"/>
        <v>76.272000000000006</v>
      </c>
      <c r="P120" s="212">
        <f t="shared" si="250"/>
        <v>327239.05674000003</v>
      </c>
      <c r="Q120" s="202"/>
      <c r="R120" s="211">
        <f t="shared" ref="R120:W120" si="256">J120*J134/1000000</f>
        <v>21.07648523858181</v>
      </c>
      <c r="S120" s="211">
        <f t="shared" si="256"/>
        <v>1.1615379716501446</v>
      </c>
      <c r="T120" s="211">
        <f t="shared" si="256"/>
        <v>0</v>
      </c>
      <c r="U120" s="211">
        <f t="shared" si="256"/>
        <v>1.7629749647331638</v>
      </c>
      <c r="V120" s="211">
        <f t="shared" si="256"/>
        <v>2.4229752585143522</v>
      </c>
      <c r="W120" s="211">
        <f t="shared" si="256"/>
        <v>3.4557581369703214E-5</v>
      </c>
      <c r="X120" s="220">
        <f t="shared" si="254"/>
        <v>26.42400799106084</v>
      </c>
      <c r="Z120" s="199"/>
      <c r="AA120" s="237"/>
      <c r="AB120" s="237"/>
      <c r="AC120" s="216"/>
      <c r="AF120" s="237"/>
      <c r="AG120" s="237"/>
      <c r="AH120" s="237"/>
    </row>
    <row r="121" spans="1:43">
      <c r="A121" s="10" t="s">
        <v>21</v>
      </c>
      <c r="J121" s="197">
        <f t="shared" si="252"/>
        <v>0</v>
      </c>
      <c r="K121" s="197">
        <f t="shared" si="252"/>
        <v>363896.56799999997</v>
      </c>
      <c r="L121" s="197">
        <f t="shared" si="252"/>
        <v>0</v>
      </c>
      <c r="M121" s="197">
        <f t="shared" si="252"/>
        <v>56.867759999999997</v>
      </c>
      <c r="N121" s="197">
        <f t="shared" si="252"/>
        <v>12701.548199999999</v>
      </c>
      <c r="O121" s="197">
        <f t="shared" si="252"/>
        <v>44.289840000000005</v>
      </c>
      <c r="P121" s="212">
        <f t="shared" si="250"/>
        <v>376699.27379999997</v>
      </c>
      <c r="Q121" s="202"/>
      <c r="R121" s="211">
        <f t="shared" ref="R121:W121" si="257">J121*J134/1000000</f>
        <v>0</v>
      </c>
      <c r="S121" s="211">
        <f t="shared" si="257"/>
        <v>21.440769322103769</v>
      </c>
      <c r="T121" s="211">
        <f t="shared" si="257"/>
        <v>0</v>
      </c>
      <c r="U121" s="211">
        <f t="shared" si="257"/>
        <v>4.0300955130905215E-3</v>
      </c>
      <c r="V121" s="211">
        <f t="shared" si="257"/>
        <v>0.5446514122056314</v>
      </c>
      <c r="W121" s="211">
        <f t="shared" si="257"/>
        <v>2.0066993780825681E-5</v>
      </c>
      <c r="X121" s="220">
        <f t="shared" si="254"/>
        <v>21.989470896816272</v>
      </c>
      <c r="Z121" s="199"/>
      <c r="AA121" s="237"/>
      <c r="AB121" s="237"/>
      <c r="AC121" s="216"/>
      <c r="AF121" s="237"/>
      <c r="AG121" s="237"/>
      <c r="AH121" s="237"/>
      <c r="AJ121" s="11" t="s">
        <v>24</v>
      </c>
      <c r="AK121" s="286" t="str">
        <f t="shared" ref="AK121:AK127" si="258">IFERROR(((J105/11.63)+J142)/J149,"")</f>
        <v/>
      </c>
      <c r="AL121" s="286">
        <f t="shared" ref="AL121:AL127" si="259">IFERROR(((K105/11.63)+K142)/K149,"")</f>
        <v>0.6656452959782182</v>
      </c>
      <c r="AM121" s="286">
        <f t="shared" ref="AM121:AM127" si="260">IFERROR(((L105/11.63)+L142)/L149,"")</f>
        <v>0.46914252887330665</v>
      </c>
      <c r="AN121" s="286">
        <f t="shared" ref="AN121:AN127" si="261">IFERROR(((M105/11.63)+M142)/M149,"")</f>
        <v>0.77966794953803842</v>
      </c>
      <c r="AO121" s="286">
        <f t="shared" ref="AO121:AO127" si="262">IFERROR(((N105/11.63)+N142)/N149,"")</f>
        <v>0.56672791983001525</v>
      </c>
      <c r="AP121" s="286">
        <f t="shared" ref="AP121:AP127" si="263">IFERROR(((O105/11.63)+O142)/O149,"")</f>
        <v>0.58618759858091296</v>
      </c>
      <c r="AQ121" s="286">
        <f t="shared" ref="AQ121:AQ127" si="264">IFERROR(((P105/11.63)+P142)/P149,"")</f>
        <v>0.64570310431363953</v>
      </c>
    </row>
    <row r="122" spans="1:43">
      <c r="A122" s="10" t="s">
        <v>23</v>
      </c>
      <c r="J122" s="197">
        <f t="shared" si="252"/>
        <v>0</v>
      </c>
      <c r="K122" s="197">
        <f t="shared" si="252"/>
        <v>0</v>
      </c>
      <c r="L122" s="197">
        <f t="shared" si="252"/>
        <v>0</v>
      </c>
      <c r="M122" s="197">
        <f t="shared" si="252"/>
        <v>0</v>
      </c>
      <c r="N122" s="197">
        <f t="shared" si="252"/>
        <v>0</v>
      </c>
      <c r="O122" s="197">
        <f t="shared" si="252"/>
        <v>0</v>
      </c>
      <c r="P122" s="212">
        <f t="shared" si="250"/>
        <v>0</v>
      </c>
      <c r="Q122" s="202"/>
      <c r="R122" s="211">
        <f t="shared" ref="R122:W122" si="265">J122*J134/1000000</f>
        <v>0</v>
      </c>
      <c r="S122" s="211">
        <f t="shared" si="265"/>
        <v>0</v>
      </c>
      <c r="T122" s="211">
        <f t="shared" si="265"/>
        <v>0</v>
      </c>
      <c r="U122" s="211">
        <f t="shared" si="265"/>
        <v>0</v>
      </c>
      <c r="V122" s="211">
        <f t="shared" si="265"/>
        <v>0</v>
      </c>
      <c r="W122" s="211">
        <f t="shared" si="265"/>
        <v>0</v>
      </c>
      <c r="X122" s="220">
        <f t="shared" si="254"/>
        <v>0</v>
      </c>
      <c r="Z122" s="199"/>
      <c r="AA122" s="237"/>
      <c r="AB122" s="237"/>
      <c r="AC122" s="216"/>
      <c r="AF122" s="237"/>
      <c r="AG122" s="237"/>
      <c r="AH122" s="237"/>
      <c r="AJ122" s="10" t="s">
        <v>25</v>
      </c>
      <c r="AK122" s="56" t="str">
        <f t="shared" si="258"/>
        <v/>
      </c>
      <c r="AL122" s="56">
        <f t="shared" si="259"/>
        <v>0.72767483728382854</v>
      </c>
      <c r="AM122" s="56">
        <f t="shared" si="260"/>
        <v>0.58289177736779363</v>
      </c>
      <c r="AN122" s="56">
        <f t="shared" si="261"/>
        <v>0.76239610211252495</v>
      </c>
      <c r="AO122" s="56">
        <f t="shared" si="262"/>
        <v>0.66825946020275695</v>
      </c>
      <c r="AP122" s="56">
        <f t="shared" si="263"/>
        <v>0.58630901397666046</v>
      </c>
      <c r="AQ122" s="286">
        <f t="shared" si="264"/>
        <v>0.67812818107167072</v>
      </c>
    </row>
    <row r="123" spans="1:43">
      <c r="A123" s="10" t="s">
        <v>387</v>
      </c>
      <c r="J123" s="197"/>
      <c r="K123" s="197"/>
      <c r="L123" s="197"/>
      <c r="M123" s="197"/>
      <c r="N123" s="197"/>
      <c r="O123" s="197"/>
      <c r="P123" s="212"/>
      <c r="Q123" s="202"/>
      <c r="R123" s="211">
        <f t="shared" ref="R123:W123" si="266">J123*J134/1000000</f>
        <v>0</v>
      </c>
      <c r="S123" s="211">
        <f t="shared" si="266"/>
        <v>0</v>
      </c>
      <c r="T123" s="211">
        <f t="shared" si="266"/>
        <v>0</v>
      </c>
      <c r="U123" s="211">
        <f t="shared" si="266"/>
        <v>0</v>
      </c>
      <c r="V123" s="211">
        <f t="shared" si="266"/>
        <v>0</v>
      </c>
      <c r="W123" s="211">
        <f t="shared" si="266"/>
        <v>0</v>
      </c>
      <c r="X123" s="220">
        <f t="shared" si="254"/>
        <v>0</v>
      </c>
      <c r="Z123" s="199"/>
      <c r="AA123" s="237"/>
      <c r="AB123" s="451"/>
      <c r="AC123" s="216"/>
      <c r="AJ123" s="10" t="s">
        <v>26</v>
      </c>
      <c r="AK123" s="56" t="str">
        <f t="shared" si="258"/>
        <v/>
      </c>
      <c r="AL123" s="56">
        <f t="shared" si="259"/>
        <v>0.78701966893425324</v>
      </c>
      <c r="AM123" s="56" t="str">
        <f t="shared" si="260"/>
        <v/>
      </c>
      <c r="AN123" s="56">
        <f t="shared" si="261"/>
        <v>0.81723150033940517</v>
      </c>
      <c r="AO123" s="56">
        <f t="shared" si="262"/>
        <v>0.64231173439725142</v>
      </c>
      <c r="AP123" s="56">
        <f t="shared" si="263"/>
        <v>0.7416165090988821</v>
      </c>
      <c r="AQ123" s="286">
        <f t="shared" si="264"/>
        <v>0.78858584806473442</v>
      </c>
    </row>
    <row r="124" spans="1:43">
      <c r="A124" s="11" t="s">
        <v>24</v>
      </c>
      <c r="J124" s="209">
        <f t="shared" ref="J124:O124" si="267">SUM(J125:J129)</f>
        <v>0</v>
      </c>
      <c r="K124" s="209">
        <f t="shared" si="267"/>
        <v>500193.76191999996</v>
      </c>
      <c r="L124" s="209">
        <f t="shared" si="267"/>
        <v>14390.9323</v>
      </c>
      <c r="M124" s="209">
        <f t="shared" si="267"/>
        <v>13525.650900000001</v>
      </c>
      <c r="N124" s="209">
        <f t="shared" si="267"/>
        <v>105823.4405</v>
      </c>
      <c r="O124" s="209">
        <f t="shared" si="267"/>
        <v>40491.9565</v>
      </c>
      <c r="P124" s="298">
        <f t="shared" ref="P124:P129" si="268">SUM(J124:O124)</f>
        <v>674425.74211999995</v>
      </c>
      <c r="Q124" s="202"/>
      <c r="R124" s="209">
        <f t="shared" ref="R124:W124" si="269">SUM(R125:R129)</f>
        <v>0</v>
      </c>
      <c r="S124" s="209">
        <f t="shared" si="269"/>
        <v>29.471393821120106</v>
      </c>
      <c r="T124" s="209">
        <f t="shared" si="269"/>
        <v>2.5316324711901075</v>
      </c>
      <c r="U124" s="209">
        <f t="shared" si="269"/>
        <v>0.95853371055442971</v>
      </c>
      <c r="V124" s="209">
        <f t="shared" si="269"/>
        <v>4.5377843240230824</v>
      </c>
      <c r="W124" s="209">
        <f t="shared" si="269"/>
        <v>1.8346235598479557E-2</v>
      </c>
      <c r="X124" s="220">
        <f t="shared" ref="X124:X130" si="270">SUM(R124:W124)</f>
        <v>37.517690562486202</v>
      </c>
      <c r="Z124" s="199"/>
      <c r="AA124" s="237"/>
      <c r="AB124" s="451"/>
      <c r="AC124" s="216"/>
      <c r="AJ124" s="10" t="s">
        <v>27</v>
      </c>
      <c r="AK124" s="56" t="str">
        <f t="shared" si="258"/>
        <v/>
      </c>
      <c r="AL124" s="56">
        <f t="shared" si="259"/>
        <v>0.63312243125737921</v>
      </c>
      <c r="AM124" s="56">
        <f t="shared" si="260"/>
        <v>0.51595632697540028</v>
      </c>
      <c r="AN124" s="56">
        <f t="shared" si="261"/>
        <v>0.74704567137787847</v>
      </c>
      <c r="AO124" s="56">
        <f t="shared" si="262"/>
        <v>0.66237053733998463</v>
      </c>
      <c r="AP124" s="56">
        <f t="shared" si="263"/>
        <v>0.55144740616308163</v>
      </c>
      <c r="AQ124" s="286">
        <f t="shared" si="264"/>
        <v>0.63893771636200569</v>
      </c>
    </row>
    <row r="125" spans="1:43">
      <c r="A125" s="10" t="s">
        <v>25</v>
      </c>
      <c r="J125" s="197">
        <f t="shared" ref="J125:J130" si="271">IFERROR(J106*R106,"")</f>
        <v>0</v>
      </c>
      <c r="K125" s="197">
        <f t="shared" ref="K125:K130" si="272">IFERROR(K106*S106,"")</f>
        <v>68355.394100000005</v>
      </c>
      <c r="L125" s="197">
        <f t="shared" ref="L125:L130" si="273">IFERROR(L106*T106,"")</f>
        <v>1169.6778999999999</v>
      </c>
      <c r="M125" s="197">
        <f t="shared" ref="M125:M130" si="274">IFERROR(M106*U106,"")</f>
        <v>60.589899999999993</v>
      </c>
      <c r="N125" s="197">
        <f t="shared" ref="N125:N130" si="275">IFERROR(N106*V106,"")</f>
        <v>7424.3554999999997</v>
      </c>
      <c r="O125" s="211">
        <f t="shared" ref="O125:O130" si="276">IFERROR(O106*W106,"")</f>
        <v>40198.656600000002</v>
      </c>
      <c r="P125" s="212">
        <f t="shared" si="268"/>
        <v>117208.67400000001</v>
      </c>
      <c r="Q125" s="202"/>
      <c r="R125" s="211">
        <f t="shared" ref="R125:W125" si="277">J125*J134/1000000</f>
        <v>0</v>
      </c>
      <c r="S125" s="211">
        <f t="shared" si="277"/>
        <v>4.0274967276404574</v>
      </c>
      <c r="T125" s="211">
        <f t="shared" si="277"/>
        <v>0.20576808303611122</v>
      </c>
      <c r="U125" s="211">
        <f t="shared" si="277"/>
        <v>4.2938755479133232E-3</v>
      </c>
      <c r="V125" s="211">
        <f t="shared" si="277"/>
        <v>0.31836163939382184</v>
      </c>
      <c r="W125" s="211">
        <f t="shared" si="277"/>
        <v>1.821334626609053E-2</v>
      </c>
      <c r="X125" s="220">
        <f t="shared" si="270"/>
        <v>4.5741336718843941</v>
      </c>
      <c r="Z125" s="199"/>
      <c r="AA125" s="237"/>
      <c r="AB125" s="451"/>
      <c r="AC125" s="216"/>
      <c r="AJ125" s="10" t="s">
        <v>28</v>
      </c>
      <c r="AK125" s="56" t="str">
        <f t="shared" si="258"/>
        <v/>
      </c>
      <c r="AL125" s="56">
        <f t="shared" si="259"/>
        <v>0.8681964548976232</v>
      </c>
      <c r="AM125" s="56" t="str">
        <f t="shared" si="260"/>
        <v/>
      </c>
      <c r="AN125" s="56">
        <f t="shared" si="261"/>
        <v>0.83527822146556907</v>
      </c>
      <c r="AO125" s="56">
        <f t="shared" si="262"/>
        <v>0.77974211278400252</v>
      </c>
      <c r="AP125" s="56" t="str">
        <f t="shared" si="263"/>
        <v/>
      </c>
      <c r="AQ125" s="286">
        <f t="shared" si="264"/>
        <v>0.8251296266574093</v>
      </c>
    </row>
    <row r="126" spans="1:43">
      <c r="A126" s="10" t="s">
        <v>26</v>
      </c>
      <c r="J126" s="197">
        <f t="shared" si="271"/>
        <v>0</v>
      </c>
      <c r="K126" s="197">
        <f t="shared" si="272"/>
        <v>32609.537999999997</v>
      </c>
      <c r="L126" s="197">
        <f t="shared" si="273"/>
        <v>0</v>
      </c>
      <c r="M126" s="197">
        <f t="shared" si="274"/>
        <v>2515.1423999999997</v>
      </c>
      <c r="N126" s="197">
        <f t="shared" si="275"/>
        <v>192.614</v>
      </c>
      <c r="O126" s="197">
        <f t="shared" si="276"/>
        <v>18.110499999999998</v>
      </c>
      <c r="P126" s="212">
        <f t="shared" si="268"/>
        <v>35335.404900000001</v>
      </c>
      <c r="Q126" s="202"/>
      <c r="R126" s="211">
        <f t="shared" ref="R126:W126" si="278">J126*J134/1000000</f>
        <v>0</v>
      </c>
      <c r="S126" s="211">
        <f t="shared" si="278"/>
        <v>1.9213525035453949</v>
      </c>
      <c r="T126" s="211">
        <f t="shared" si="278"/>
        <v>0</v>
      </c>
      <c r="U126" s="211">
        <f t="shared" si="278"/>
        <v>0.17824271786023796</v>
      </c>
      <c r="V126" s="211">
        <f t="shared" si="278"/>
        <v>8.2594251864962012E-3</v>
      </c>
      <c r="W126" s="211">
        <f t="shared" si="278"/>
        <v>8.2055679331341762E-6</v>
      </c>
      <c r="X126" s="220">
        <f t="shared" si="270"/>
        <v>2.107862852160062</v>
      </c>
      <c r="Z126" s="199"/>
      <c r="AA126" s="237"/>
      <c r="AB126" s="237"/>
      <c r="AC126" s="216"/>
      <c r="AJ126" s="10" t="s">
        <v>29</v>
      </c>
      <c r="AK126" s="56" t="str">
        <f t="shared" si="258"/>
        <v/>
      </c>
      <c r="AL126" s="56">
        <f t="shared" si="259"/>
        <v>0.54097783649429465</v>
      </c>
      <c r="AM126" s="56">
        <f t="shared" si="260"/>
        <v>0.40369779136780398</v>
      </c>
      <c r="AN126" s="56">
        <f t="shared" si="261"/>
        <v>0.81315831911175551</v>
      </c>
      <c r="AO126" s="56">
        <f t="shared" si="262"/>
        <v>0.42954254144095039</v>
      </c>
      <c r="AP126" s="56">
        <f t="shared" si="263"/>
        <v>0.5636763161004299</v>
      </c>
      <c r="AQ126" s="286">
        <f t="shared" si="264"/>
        <v>0.46046163893273462</v>
      </c>
    </row>
    <row r="127" spans="1:43">
      <c r="A127" s="10" t="s">
        <v>27</v>
      </c>
      <c r="J127" s="197">
        <f t="shared" si="271"/>
        <v>0</v>
      </c>
      <c r="K127" s="197">
        <f t="shared" si="272"/>
        <v>388515.54839999997</v>
      </c>
      <c r="L127" s="197">
        <f t="shared" si="273"/>
        <v>5851.2294000000002</v>
      </c>
      <c r="M127" s="197">
        <f t="shared" si="274"/>
        <v>8941.0015999999996</v>
      </c>
      <c r="N127" s="197">
        <f t="shared" si="275"/>
        <v>44563.549800000001</v>
      </c>
      <c r="O127" s="197">
        <f t="shared" si="276"/>
        <v>251.48879999999997</v>
      </c>
      <c r="P127" s="212">
        <f t="shared" si="268"/>
        <v>448122.81799999997</v>
      </c>
      <c r="Q127" s="202"/>
      <c r="R127" s="211">
        <f t="shared" ref="R127:W127" si="279">J127*J134/1000000</f>
        <v>0</v>
      </c>
      <c r="S127" s="211">
        <f t="shared" si="279"/>
        <v>22.891318533388976</v>
      </c>
      <c r="T127" s="211">
        <f t="shared" si="279"/>
        <v>1.0293400063748621</v>
      </c>
      <c r="U127" s="211">
        <f t="shared" si="279"/>
        <v>0.63362950168417342</v>
      </c>
      <c r="V127" s="211">
        <f t="shared" si="279"/>
        <v>1.9109166811228557</v>
      </c>
      <c r="W127" s="211">
        <f t="shared" si="279"/>
        <v>1.1394541469437036E-4</v>
      </c>
      <c r="X127" s="220">
        <f t="shared" si="270"/>
        <v>26.46531866798556</v>
      </c>
      <c r="Z127" s="199"/>
      <c r="AA127" s="456"/>
      <c r="AB127" s="388"/>
      <c r="AC127" s="216"/>
      <c r="AJ127" s="10" t="s">
        <v>389</v>
      </c>
      <c r="AK127" s="56" t="str">
        <f t="shared" si="258"/>
        <v/>
      </c>
      <c r="AL127" s="56">
        <f t="shared" si="259"/>
        <v>0.34393809117179708</v>
      </c>
      <c r="AM127" s="56" t="str">
        <f t="shared" si="260"/>
        <v/>
      </c>
      <c r="AN127" s="56" t="str">
        <f t="shared" si="261"/>
        <v/>
      </c>
      <c r="AO127" s="56" t="str">
        <f t="shared" si="262"/>
        <v/>
      </c>
      <c r="AP127" s="56" t="str">
        <f t="shared" si="263"/>
        <v/>
      </c>
      <c r="AQ127" s="286">
        <f t="shared" si="264"/>
        <v>0.36113499572897678</v>
      </c>
    </row>
    <row r="128" spans="1:43">
      <c r="A128" s="10" t="s">
        <v>28</v>
      </c>
      <c r="J128" s="197">
        <f t="shared" si="271"/>
        <v>0</v>
      </c>
      <c r="K128" s="197">
        <f t="shared" si="272"/>
        <v>2117.0393599999998</v>
      </c>
      <c r="L128" s="197">
        <f t="shared" si="273"/>
        <v>0</v>
      </c>
      <c r="M128" s="197">
        <f t="shared" si="274"/>
        <v>894.7349999999999</v>
      </c>
      <c r="N128" s="197">
        <f t="shared" si="275"/>
        <v>3764.395</v>
      </c>
      <c r="O128" s="197">
        <f t="shared" si="276"/>
        <v>0</v>
      </c>
      <c r="P128" s="212">
        <f t="shared" si="268"/>
        <v>6776.1693599999999</v>
      </c>
      <c r="Q128" s="202"/>
      <c r="R128" s="211">
        <f t="shared" ref="R128:W128" si="280">J128*J134/1000000</f>
        <v>0</v>
      </c>
      <c r="S128" s="211">
        <f t="shared" si="280"/>
        <v>0.12473586330601005</v>
      </c>
      <c r="T128" s="211">
        <f t="shared" si="280"/>
        <v>0</v>
      </c>
      <c r="U128" s="211">
        <f t="shared" si="280"/>
        <v>6.3407939910153796E-2</v>
      </c>
      <c r="V128" s="211">
        <f t="shared" si="280"/>
        <v>0.16141993248112999</v>
      </c>
      <c r="W128" s="211">
        <f t="shared" si="280"/>
        <v>0</v>
      </c>
      <c r="X128" s="220">
        <f t="shared" si="270"/>
        <v>0.34956373569729382</v>
      </c>
      <c r="Z128" s="199"/>
      <c r="AA128" s="237"/>
      <c r="AB128" s="237"/>
      <c r="AC128" s="216"/>
      <c r="AF128" s="215"/>
      <c r="AG128" s="237"/>
      <c r="AH128" s="237"/>
      <c r="AJ128" s="308" t="s">
        <v>290</v>
      </c>
      <c r="AK128" s="307">
        <f t="shared" ref="AK128:AQ128" si="281">IFERROR(((J112/11.63)+J142)/(J149+J117/41.868),"")</f>
        <v>0.36000031848965131</v>
      </c>
      <c r="AL128" s="307">
        <f t="shared" si="281"/>
        <v>0.62020404239641014</v>
      </c>
      <c r="AM128" s="307">
        <f t="shared" si="281"/>
        <v>0.46851463307140856</v>
      </c>
      <c r="AN128" s="307">
        <f t="shared" si="281"/>
        <v>0.60336793564925095</v>
      </c>
      <c r="AO128" s="307">
        <f t="shared" si="281"/>
        <v>0.4795494433048974</v>
      </c>
      <c r="AP128" s="307">
        <f t="shared" si="281"/>
        <v>0.51698626536242032</v>
      </c>
      <c r="AQ128" s="307">
        <f t="shared" si="281"/>
        <v>0.55811295233197455</v>
      </c>
    </row>
    <row r="129" spans="1:34">
      <c r="A129" s="10" t="s">
        <v>29</v>
      </c>
      <c r="J129" s="197">
        <f t="shared" si="271"/>
        <v>0</v>
      </c>
      <c r="K129" s="197">
        <f t="shared" si="272"/>
        <v>8596.2420600000005</v>
      </c>
      <c r="L129" s="197">
        <f t="shared" si="273"/>
        <v>7370.0249999999996</v>
      </c>
      <c r="M129" s="197">
        <f t="shared" si="274"/>
        <v>1114.182</v>
      </c>
      <c r="N129" s="197">
        <f t="shared" si="275"/>
        <v>49878.5262</v>
      </c>
      <c r="O129" s="197">
        <f t="shared" si="276"/>
        <v>23.700600000000001</v>
      </c>
      <c r="P129" s="212">
        <f t="shared" si="268"/>
        <v>66982.675860000003</v>
      </c>
      <c r="Q129" s="202"/>
      <c r="R129" s="211">
        <f t="shared" ref="R129:W129" si="282">J129*J134/1000000</f>
        <v>0</v>
      </c>
      <c r="S129" s="211">
        <f t="shared" si="282"/>
        <v>0.50649019323926714</v>
      </c>
      <c r="T129" s="211">
        <f t="shared" si="282"/>
        <v>1.2965243817791339</v>
      </c>
      <c r="U129" s="211">
        <f t="shared" si="282"/>
        <v>7.8959675551951117E-2</v>
      </c>
      <c r="V129" s="211">
        <f t="shared" si="282"/>
        <v>2.1388266458387792</v>
      </c>
      <c r="W129" s="211">
        <f t="shared" si="282"/>
        <v>1.0738349761521764E-5</v>
      </c>
      <c r="X129" s="220">
        <f t="shared" si="270"/>
        <v>4.0208116347588927</v>
      </c>
      <c r="Z129" s="199"/>
      <c r="AA129" s="237"/>
      <c r="AB129" s="237"/>
      <c r="AC129" s="216"/>
      <c r="AF129" s="215"/>
      <c r="AG129" s="237"/>
      <c r="AH129" s="237"/>
    </row>
    <row r="130" spans="1:34">
      <c r="A130" s="10" t="s">
        <v>389</v>
      </c>
      <c r="J130" s="197">
        <f t="shared" si="271"/>
        <v>0</v>
      </c>
      <c r="K130" s="197">
        <f t="shared" si="272"/>
        <v>1.4356</v>
      </c>
      <c r="L130" s="197">
        <f t="shared" si="273"/>
        <v>0</v>
      </c>
      <c r="M130" s="197">
        <f t="shared" si="274"/>
        <v>0</v>
      </c>
      <c r="N130" s="197">
        <f t="shared" si="275"/>
        <v>0</v>
      </c>
      <c r="O130" s="197">
        <f t="shared" si="276"/>
        <v>0</v>
      </c>
      <c r="P130" s="212">
        <f>SUM(J130:O130)</f>
        <v>1.4356</v>
      </c>
      <c r="Q130" s="202"/>
      <c r="R130" s="211">
        <f t="shared" ref="R130:W130" si="283">J130*J134/1000000</f>
        <v>0</v>
      </c>
      <c r="S130" s="211">
        <f t="shared" si="283"/>
        <v>8.4585487046451527E-5</v>
      </c>
      <c r="T130" s="211">
        <f t="shared" si="283"/>
        <v>0</v>
      </c>
      <c r="U130" s="211">
        <f t="shared" si="283"/>
        <v>0</v>
      </c>
      <c r="V130" s="211">
        <f t="shared" si="283"/>
        <v>0</v>
      </c>
      <c r="W130" s="211">
        <f t="shared" si="283"/>
        <v>0</v>
      </c>
      <c r="X130" s="220">
        <f t="shared" si="270"/>
        <v>8.4585487046451527E-5</v>
      </c>
      <c r="Z130" s="199"/>
      <c r="AA130" s="237"/>
      <c r="AB130" s="237"/>
      <c r="AC130" s="219"/>
      <c r="AF130" s="215"/>
      <c r="AG130" s="237"/>
      <c r="AH130" s="237"/>
    </row>
    <row r="131" spans="1:34">
      <c r="A131" s="11" t="s">
        <v>10</v>
      </c>
      <c r="J131" s="212">
        <f t="shared" ref="J131:P131" si="284">J117+J124</f>
        <v>226067</v>
      </c>
      <c r="K131" s="212">
        <f t="shared" si="284"/>
        <v>887274.6611899999</v>
      </c>
      <c r="L131" s="212">
        <f t="shared" si="284"/>
        <v>14548.575500000001</v>
      </c>
      <c r="M131" s="212">
        <f t="shared" si="284"/>
        <v>40456.388120000003</v>
      </c>
      <c r="N131" s="212">
        <f t="shared" si="284"/>
        <v>183730.609</v>
      </c>
      <c r="O131" s="212">
        <f t="shared" si="284"/>
        <v>64552.981390000001</v>
      </c>
      <c r="P131" s="212">
        <f t="shared" si="284"/>
        <v>1416630.2152</v>
      </c>
      <c r="Q131" s="202"/>
      <c r="R131" s="229">
        <f t="shared" ref="R131:W131" si="285">R117+R124</f>
        <v>21.07648523858181</v>
      </c>
      <c r="S131" s="229">
        <f t="shared" si="285"/>
        <v>52.278182892680007</v>
      </c>
      <c r="T131" s="229">
        <f t="shared" si="285"/>
        <v>2.5593648401334534</v>
      </c>
      <c r="U131" s="229">
        <f t="shared" si="285"/>
        <v>2.8670569798821104</v>
      </c>
      <c r="V131" s="229">
        <f t="shared" si="285"/>
        <v>7.8784990681097193</v>
      </c>
      <c r="W131" s="229">
        <f t="shared" si="285"/>
        <v>2.9247887914855546E-2</v>
      </c>
      <c r="X131" s="229">
        <f>X117+X124</f>
        <v>86.688836907301962</v>
      </c>
      <c r="Z131" s="199"/>
      <c r="AA131" s="237"/>
      <c r="AB131" s="237"/>
      <c r="AC131" s="216"/>
      <c r="AF131" s="215"/>
      <c r="AG131" s="237"/>
      <c r="AH131" s="237"/>
    </row>
    <row r="132" spans="1:34">
      <c r="E132" s="68" t="s">
        <v>200</v>
      </c>
      <c r="F132" s="68"/>
      <c r="G132" s="68"/>
      <c r="H132" s="68"/>
      <c r="I132" s="68"/>
      <c r="J132" s="367">
        <f>J131/41.868</f>
        <v>5399.5175312888123</v>
      </c>
      <c r="K132" s="367">
        <f t="shared" ref="K132:P132" si="286">K131/41.868</f>
        <v>21192.19120067832</v>
      </c>
      <c r="L132" s="367">
        <f t="shared" si="286"/>
        <v>347.48675599503201</v>
      </c>
      <c r="M132" s="367">
        <f t="shared" si="286"/>
        <v>966.28422948313755</v>
      </c>
      <c r="N132" s="367">
        <f t="shared" si="286"/>
        <v>4388.3302044520869</v>
      </c>
      <c r="O132" s="367">
        <f t="shared" si="286"/>
        <v>1541.8214720072608</v>
      </c>
      <c r="P132" s="367">
        <f t="shared" si="286"/>
        <v>33835.631393904652</v>
      </c>
      <c r="R132" s="227">
        <v>21.07648523858181</v>
      </c>
      <c r="S132" s="227">
        <v>52.278182892680015</v>
      </c>
      <c r="T132" s="227">
        <v>2.559364840133453</v>
      </c>
      <c r="U132" s="227">
        <v>2.8670569798821108</v>
      </c>
      <c r="V132" s="227">
        <v>7.8784990681097202</v>
      </c>
      <c r="W132" s="227">
        <v>2.9247887914855535E-2</v>
      </c>
      <c r="X132" s="227">
        <v>86.688836907301976</v>
      </c>
      <c r="Z132" s="199"/>
      <c r="AA132" s="237"/>
      <c r="AB132" s="237"/>
      <c r="AC132" s="216"/>
      <c r="AF132" s="215"/>
      <c r="AG132" s="237"/>
      <c r="AH132" s="237"/>
    </row>
    <row r="133" spans="1:34">
      <c r="A133" s="724" t="s">
        <v>519</v>
      </c>
      <c r="E133" s="68" t="s">
        <v>200</v>
      </c>
      <c r="J133" s="367">
        <f>(J117)/41.868+J149</f>
        <v>5399.5175312888123</v>
      </c>
      <c r="K133" s="367">
        <f t="shared" ref="K133:P133" si="287">(K117)/41.868+K149</f>
        <v>24757.178445352059</v>
      </c>
      <c r="L133" s="367">
        <f t="shared" si="287"/>
        <v>403.10524314512281</v>
      </c>
      <c r="M133" s="367">
        <f t="shared" si="287"/>
        <v>1509.8496078150376</v>
      </c>
      <c r="N133" s="367">
        <f t="shared" si="287"/>
        <v>5387.5807514091903</v>
      </c>
      <c r="O133" s="367">
        <f t="shared" si="287"/>
        <v>1858.4277063628547</v>
      </c>
      <c r="P133" s="367">
        <f t="shared" si="287"/>
        <v>39315.659285373076</v>
      </c>
      <c r="T133" s="227"/>
      <c r="U133" s="228"/>
      <c r="Z133" s="199"/>
      <c r="AA133" s="237"/>
      <c r="AB133" s="237"/>
      <c r="AC133" s="216"/>
      <c r="AF133" s="215"/>
      <c r="AG133" s="237"/>
      <c r="AH133" s="237"/>
    </row>
    <row r="134" spans="1:34">
      <c r="A134" s="213" t="s">
        <v>217</v>
      </c>
      <c r="J134" s="198">
        <f>95+J135</f>
        <v>93.23114491978842</v>
      </c>
      <c r="K134" s="215">
        <f>56+K135</f>
        <v>58.919954755120884</v>
      </c>
      <c r="L134" s="177">
        <f>177+L135</f>
        <v>175.91858667767531</v>
      </c>
      <c r="M134" s="198">
        <f>68+M135</f>
        <v>70.867843451026062</v>
      </c>
      <c r="N134" s="198">
        <f>36+N135</f>
        <v>42.880710573978014</v>
      </c>
      <c r="O134" s="198">
        <f>1+O135</f>
        <v>0.45308345617924284</v>
      </c>
      <c r="P134" s="363">
        <f>P124/41.868</f>
        <v>16108.382108531574</v>
      </c>
      <c r="Q134" s="90">
        <f>P134-'5-x'!AB82</f>
        <v>0</v>
      </c>
      <c r="Z134" s="199"/>
      <c r="AA134" s="237"/>
      <c r="AB134" s="237"/>
      <c r="AC134" s="216"/>
      <c r="AF134" s="215"/>
      <c r="AG134" s="237"/>
      <c r="AH134" s="237"/>
    </row>
    <row r="135" spans="1:34">
      <c r="A135" s="504" t="s">
        <v>415</v>
      </c>
      <c r="B135" s="503"/>
      <c r="C135" s="503"/>
      <c r="D135" s="503"/>
      <c r="E135" s="503"/>
      <c r="F135" s="503"/>
      <c r="G135" s="503"/>
      <c r="H135" s="503"/>
      <c r="I135" s="503"/>
      <c r="J135" s="564">
        <v>-1.7688550802115734</v>
      </c>
      <c r="K135" s="564">
        <v>2.9199547551208864</v>
      </c>
      <c r="L135" s="564">
        <v>-1.0814133223246856</v>
      </c>
      <c r="M135" s="564">
        <v>2.867843451026066</v>
      </c>
      <c r="N135" s="564">
        <v>6.8807105739780114</v>
      </c>
      <c r="O135" s="564">
        <v>-0.54691654382075716</v>
      </c>
      <c r="P135" s="364">
        <f>P117/41.868</f>
        <v>17727.249285373076</v>
      </c>
      <c r="Q135" s="90">
        <f>P135-'5-x'!AB83</f>
        <v>0</v>
      </c>
      <c r="R135" s="506">
        <f>R131-R132</f>
        <v>0</v>
      </c>
      <c r="S135" s="506">
        <f>S131-S132</f>
        <v>0</v>
      </c>
      <c r="T135" s="506">
        <f>T131-SUM(T132:T133)</f>
        <v>0</v>
      </c>
      <c r="U135" s="506">
        <f>U131-U132</f>
        <v>0</v>
      </c>
      <c r="V135" s="506">
        <f>V131-V132</f>
        <v>0</v>
      </c>
      <c r="W135" s="506">
        <f>W131-W132</f>
        <v>0</v>
      </c>
      <c r="X135" s="252">
        <f>X131-X132</f>
        <v>0</v>
      </c>
      <c r="AA135" s="470"/>
      <c r="AB135" s="388"/>
      <c r="AC135" s="451"/>
    </row>
    <row r="136" spans="1:34">
      <c r="J136" s="198">
        <f t="shared" ref="J136:O136" si="288">J226</f>
        <v>93.077205941577574</v>
      </c>
      <c r="K136" s="198">
        <f t="shared" si="288"/>
        <v>58.504230516406189</v>
      </c>
      <c r="L136" s="198">
        <f t="shared" si="288"/>
        <v>181.52254778100877</v>
      </c>
      <c r="M136" s="198">
        <f t="shared" si="288"/>
        <v>70.300914424281132</v>
      </c>
      <c r="N136" s="198">
        <f t="shared" si="288"/>
        <v>32.737654574611625</v>
      </c>
      <c r="O136" s="198">
        <f t="shared" si="288"/>
        <v>0.71682922081530975</v>
      </c>
      <c r="P136" s="365">
        <f>P149-P134</f>
        <v>5480.0278914684259</v>
      </c>
      <c r="Q136" s="90">
        <f>P136-'5-x'!AB84</f>
        <v>0</v>
      </c>
      <c r="Z136" s="199"/>
      <c r="AA136" s="237"/>
      <c r="AB136" s="620"/>
      <c r="AC136" s="216"/>
    </row>
    <row r="137" spans="1:34">
      <c r="J137" s="198">
        <f t="shared" ref="J137:O137" si="289">J124/41.868</f>
        <v>0</v>
      </c>
      <c r="K137" s="198">
        <f t="shared" si="289"/>
        <v>11946.922755326263</v>
      </c>
      <c r="L137" s="198">
        <f t="shared" si="289"/>
        <v>343.72151284990923</v>
      </c>
      <c r="M137" s="198">
        <f t="shared" si="289"/>
        <v>323.05462166809974</v>
      </c>
      <c r="N137" s="198">
        <f t="shared" si="289"/>
        <v>2527.5494530428964</v>
      </c>
      <c r="O137" s="198">
        <f t="shared" si="289"/>
        <v>967.13376564440614</v>
      </c>
      <c r="P137" s="366">
        <f>SUM(P134:P136)</f>
        <v>39315.659285373076</v>
      </c>
      <c r="Q137" s="366"/>
      <c r="Z137" s="199"/>
      <c r="AA137" s="237"/>
      <c r="AB137" s="237"/>
      <c r="AC137" s="216"/>
    </row>
    <row r="138" spans="1:34">
      <c r="J138" s="198" t="str">
        <f t="shared" ref="J138:O138" si="290">IFERROR(J149-(J142/J139),"")</f>
        <v/>
      </c>
      <c r="K138" s="198">
        <f t="shared" si="290"/>
        <v>11946.922755326263</v>
      </c>
      <c r="L138" s="198">
        <f t="shared" si="290"/>
        <v>343.72151284990923</v>
      </c>
      <c r="M138" s="198">
        <f t="shared" si="290"/>
        <v>323.0546216680998</v>
      </c>
      <c r="N138" s="198">
        <f t="shared" si="290"/>
        <v>2527.5494530428964</v>
      </c>
      <c r="O138" s="198">
        <f t="shared" si="290"/>
        <v>967.13376564440614</v>
      </c>
      <c r="P138" s="198"/>
      <c r="Z138" s="199"/>
      <c r="AA138" s="237"/>
      <c r="AB138" s="237"/>
      <c r="AC138" s="216"/>
    </row>
    <row r="139" spans="1:34">
      <c r="A139" s="271" t="s">
        <v>413</v>
      </c>
      <c r="I139" s="558" t="str">
        <f t="shared" ref="I139:O139" si="291">IFERROR(I142/(I149-I124/41.868),"")</f>
        <v/>
      </c>
      <c r="J139" s="558" t="str">
        <f t="shared" si="291"/>
        <v/>
      </c>
      <c r="K139" s="558">
        <f>IFERROR(K142/(K149-K124/41.868),"")</f>
        <v>0.89548678567612772</v>
      </c>
      <c r="L139" s="558">
        <f t="shared" si="291"/>
        <v>0.90021843800471402</v>
      </c>
      <c r="M139" s="558">
        <f t="shared" si="291"/>
        <v>0.89245470751235767</v>
      </c>
      <c r="N139" s="558">
        <f t="shared" si="291"/>
        <v>0.863149039428593</v>
      </c>
      <c r="O139" s="558">
        <f t="shared" si="291"/>
        <v>0.89472657081806117</v>
      </c>
      <c r="P139" s="558">
        <f>IFERROR(P142/(P149-P124/41.868),"")</f>
        <v>0.88929353895715624</v>
      </c>
      <c r="Z139" s="199"/>
      <c r="AA139" s="237"/>
      <c r="AB139" s="237"/>
      <c r="AC139" s="216"/>
    </row>
    <row r="140" spans="1:34">
      <c r="A140" s="68" t="s">
        <v>276</v>
      </c>
      <c r="J140" s="198"/>
      <c r="K140" s="198"/>
      <c r="L140" s="558">
        <f>IFERROR(SUM(K142:M142)/(SUM(K149:M149)-SUM(K124:M124)/41.868),"")</f>
        <v>0.89515419478748537</v>
      </c>
      <c r="P140" s="477">
        <f>(P149-P124/41.868)</f>
        <v>5480.0278914684259</v>
      </c>
      <c r="R140" s="221" t="s">
        <v>438</v>
      </c>
      <c r="S140" s="195"/>
      <c r="T140" s="195"/>
      <c r="U140" s="195"/>
      <c r="V140" s="195"/>
      <c r="W140" s="195"/>
      <c r="X140" s="195"/>
      <c r="Z140" s="199"/>
      <c r="AA140" s="237"/>
      <c r="AB140" s="237"/>
      <c r="AC140" s="216"/>
    </row>
    <row r="141" spans="1:34">
      <c r="A141" s="68" t="str">
        <f>$A$96</f>
        <v>Dati 2022 lorda</v>
      </c>
      <c r="J141" s="210" t="s">
        <v>5</v>
      </c>
      <c r="K141" s="210" t="s">
        <v>210</v>
      </c>
      <c r="L141" s="210" t="s">
        <v>211</v>
      </c>
      <c r="M141" s="210" t="s">
        <v>214</v>
      </c>
      <c r="N141" s="210" t="s">
        <v>216</v>
      </c>
      <c r="O141" s="210" t="s">
        <v>215</v>
      </c>
      <c r="P141" s="210" t="s">
        <v>213</v>
      </c>
      <c r="R141" s="221" t="s">
        <v>5</v>
      </c>
      <c r="S141" s="221" t="s">
        <v>210</v>
      </c>
      <c r="T141" s="221" t="s">
        <v>211</v>
      </c>
      <c r="U141" s="221" t="s">
        <v>214</v>
      </c>
      <c r="V141" s="221" t="s">
        <v>216</v>
      </c>
      <c r="W141" s="221" t="s">
        <v>215</v>
      </c>
      <c r="X141" s="221" t="s">
        <v>213</v>
      </c>
      <c r="AA141" s="210" t="s">
        <v>5</v>
      </c>
      <c r="AB141" s="210" t="s">
        <v>210</v>
      </c>
      <c r="AC141" s="210" t="s">
        <v>211</v>
      </c>
      <c r="AD141" s="210" t="s">
        <v>214</v>
      </c>
      <c r="AE141" s="210" t="s">
        <v>216</v>
      </c>
      <c r="AF141" s="210" t="s">
        <v>215</v>
      </c>
      <c r="AG141" s="210" t="s">
        <v>213</v>
      </c>
    </row>
    <row r="142" spans="1:34">
      <c r="A142" s="223" t="s">
        <v>275</v>
      </c>
      <c r="J142" s="209">
        <f t="shared" ref="J142:O142" si="292">SUM(J143:J148)</f>
        <v>0</v>
      </c>
      <c r="K142" s="209">
        <f t="shared" si="292"/>
        <v>3192.3989687092799</v>
      </c>
      <c r="L142" s="209">
        <f t="shared" si="292"/>
        <v>50.068787626439999</v>
      </c>
      <c r="M142" s="209">
        <f t="shared" si="292"/>
        <v>485.10748073303995</v>
      </c>
      <c r="N142" s="209">
        <f t="shared" si="292"/>
        <v>862.50214975451991</v>
      </c>
      <c r="O142" s="209">
        <f t="shared" si="292"/>
        <v>283.27601036459993</v>
      </c>
      <c r="P142" s="298">
        <f>SUM(J142:O142)</f>
        <v>4873.3533971878796</v>
      </c>
      <c r="Q142" s="223" t="s">
        <v>17</v>
      </c>
      <c r="R142" s="316">
        <f t="shared" ref="R142:R155" si="293">IFERROR(R117/J98*1000000,0)</f>
        <v>932.31144919788414</v>
      </c>
      <c r="S142" s="316">
        <f t="shared" ref="S142:S155" si="294">IFERROR(S117/K98*1000000,0)</f>
        <v>389.93889649639743</v>
      </c>
      <c r="T142" s="316">
        <f t="shared" ref="T142:T155" si="295">IFERROR(T117/L98*1000000,0)</f>
        <v>1575.7027808719379</v>
      </c>
      <c r="U142" s="316">
        <f t="shared" ref="U142:U155" si="296">IFERROR(U117/M98*1000000,0)</f>
        <v>697.36596169473421</v>
      </c>
      <c r="V142" s="316">
        <f t="shared" ref="V142:V155" si="297">IFERROR(V117/N98*1000000,0)</f>
        <v>491.12990754129413</v>
      </c>
      <c r="W142" s="316">
        <f t="shared" ref="W142:W155" si="298">IFERROR(W117/O98*1000000,0)</f>
        <v>4.5007791841101108</v>
      </c>
      <c r="X142" s="316">
        <f t="shared" ref="X142:X155" si="299">IFERROR(X117/P98*1000000,0)</f>
        <v>528.30481332607621</v>
      </c>
      <c r="Z142" s="621" t="s">
        <v>471</v>
      </c>
      <c r="AA142" s="209">
        <f t="shared" ref="AA142:AF142" si="300">SUM(AA143:AA148)</f>
        <v>0</v>
      </c>
      <c r="AB142" s="209">
        <f t="shared" si="300"/>
        <v>37127.600000000006</v>
      </c>
      <c r="AC142" s="209">
        <f t="shared" si="300"/>
        <v>582.30000000000007</v>
      </c>
      <c r="AD142" s="209">
        <f t="shared" si="300"/>
        <v>5641.8</v>
      </c>
      <c r="AE142" s="209">
        <f t="shared" si="300"/>
        <v>10030.900000000001</v>
      </c>
      <c r="AF142" s="209">
        <f t="shared" si="300"/>
        <v>3294.5</v>
      </c>
      <c r="AG142" s="298">
        <f>SUM(AA142:AF142)</f>
        <v>56677.100000000013</v>
      </c>
    </row>
    <row r="143" spans="1:34">
      <c r="A143" s="216" t="s">
        <v>25</v>
      </c>
      <c r="J143" s="487">
        <f t="shared" ref="J143:J148" si="301">IFERROR(AA143*85.9845228/1000,"")</f>
        <v>0</v>
      </c>
      <c r="K143" s="487">
        <f>IFERROR(AB143*85.9845228/1000,"")</f>
        <v>772.79449711728</v>
      </c>
      <c r="L143" s="487">
        <f t="shared" ref="L143:L148" si="302">IFERROR(AC143*85.9845228/1000,"")</f>
        <v>7.5580395541199996</v>
      </c>
      <c r="M143" s="487">
        <f t="shared" ref="M143:M148" si="303">IFERROR(AD143*85.9845228/1000,"")</f>
        <v>1.4187446261999999</v>
      </c>
      <c r="N143" s="487">
        <f t="shared" ref="N143:N148" si="304">IFERROR(AE143*85.9845228/1000,"")</f>
        <v>145.27944972287997</v>
      </c>
      <c r="O143" s="487">
        <f t="shared" ref="O143:O148" si="305">IFERROR(AF143*85.9845228/1000,"")</f>
        <v>281.25537407879995</v>
      </c>
      <c r="P143" s="298">
        <f t="shared" ref="P143:P148" si="306">SUM(J143:O143)</f>
        <v>1208.3061050992801</v>
      </c>
      <c r="Q143" s="216" t="s">
        <v>18</v>
      </c>
      <c r="R143" s="317">
        <f t="shared" si="293"/>
        <v>0</v>
      </c>
      <c r="S143" s="317">
        <f t="shared" si="294"/>
        <v>571.34680126040712</v>
      </c>
      <c r="T143" s="317">
        <f t="shared" si="295"/>
        <v>1575.7027808719379</v>
      </c>
      <c r="U143" s="317">
        <f t="shared" si="296"/>
        <v>672.03975944608032</v>
      </c>
      <c r="V143" s="317">
        <f t="shared" si="297"/>
        <v>376.06383173378714</v>
      </c>
      <c r="W143" s="317">
        <f t="shared" si="298"/>
        <v>4.4968533025789856</v>
      </c>
      <c r="X143" s="316">
        <f t="shared" si="299"/>
        <v>168.74831300561814</v>
      </c>
      <c r="Z143" s="239" t="s">
        <v>25</v>
      </c>
      <c r="AA143" s="453"/>
      <c r="AB143" s="453">
        <v>8987.6</v>
      </c>
      <c r="AC143" s="453">
        <v>87.9</v>
      </c>
      <c r="AD143" s="453">
        <v>16.5</v>
      </c>
      <c r="AE143" s="453">
        <v>1689.6</v>
      </c>
      <c r="AF143" s="453">
        <v>3271</v>
      </c>
      <c r="AG143" s="622">
        <f t="shared" ref="AG143:AG148" si="307">SUM(AA143:AF143)</f>
        <v>14052.6</v>
      </c>
    </row>
    <row r="144" spans="1:34">
      <c r="A144" s="216" t="s">
        <v>26</v>
      </c>
      <c r="J144" s="487">
        <f t="shared" si="301"/>
        <v>0</v>
      </c>
      <c r="K144" s="487">
        <f>IFERROR(AB144*85.9845228/1000,"")</f>
        <v>758.1943251458398</v>
      </c>
      <c r="L144" s="487">
        <f t="shared" si="302"/>
        <v>0</v>
      </c>
      <c r="M144" s="487">
        <f t="shared" si="303"/>
        <v>80.834049884280006</v>
      </c>
      <c r="N144" s="487">
        <f t="shared" si="304"/>
        <v>5.8555460026799988</v>
      </c>
      <c r="O144" s="487">
        <f t="shared" si="305"/>
        <v>0.34393809119999996</v>
      </c>
      <c r="P144" s="298">
        <f t="shared" si="306"/>
        <v>845.22785912399979</v>
      </c>
      <c r="Q144" s="216" t="s">
        <v>19</v>
      </c>
      <c r="R144" s="317">
        <f t="shared" si="293"/>
        <v>0</v>
      </c>
      <c r="S144" s="317">
        <f t="shared" si="294"/>
        <v>636.63011112908111</v>
      </c>
      <c r="T144" s="317">
        <f t="shared" si="295"/>
        <v>0</v>
      </c>
      <c r="U144" s="317">
        <f t="shared" si="296"/>
        <v>1080.6637447846965</v>
      </c>
      <c r="V144" s="317">
        <f t="shared" si="297"/>
        <v>581.3766739619939</v>
      </c>
      <c r="W144" s="317">
        <f t="shared" si="298"/>
        <v>4.9290949197739824</v>
      </c>
      <c r="X144" s="316">
        <f t="shared" si="299"/>
        <v>556.01518419005959</v>
      </c>
      <c r="Z144" s="239" t="s">
        <v>26</v>
      </c>
      <c r="AA144" s="453"/>
      <c r="AB144" s="453">
        <v>8817.7999999999993</v>
      </c>
      <c r="AC144" s="453"/>
      <c r="AD144" s="453">
        <v>940.1</v>
      </c>
      <c r="AE144" s="453">
        <v>68.099999999999994</v>
      </c>
      <c r="AF144" s="453">
        <v>4</v>
      </c>
      <c r="AG144" s="622">
        <f t="shared" si="307"/>
        <v>9830</v>
      </c>
    </row>
    <row r="145" spans="1:34">
      <c r="A145" s="216" t="s">
        <v>27</v>
      </c>
      <c r="J145" s="487">
        <f t="shared" si="301"/>
        <v>0</v>
      </c>
      <c r="K145" s="487">
        <f>IFERROR(AB145*85.9845228/1000,"")</f>
        <v>1465.9243338603599</v>
      </c>
      <c r="L145" s="487">
        <f t="shared" si="302"/>
        <v>31.530524510759996</v>
      </c>
      <c r="M145" s="487">
        <f t="shared" si="303"/>
        <v>246.41444544024</v>
      </c>
      <c r="N145" s="487">
        <f t="shared" si="304"/>
        <v>285.54600176651996</v>
      </c>
      <c r="O145" s="487">
        <f t="shared" si="305"/>
        <v>1.3499570079599998</v>
      </c>
      <c r="P145" s="298">
        <f t="shared" si="306"/>
        <v>2030.7652625858398</v>
      </c>
      <c r="Q145" s="216" t="s">
        <v>20</v>
      </c>
      <c r="R145" s="317">
        <f t="shared" si="293"/>
        <v>932.31144919788414</v>
      </c>
      <c r="S145" s="317">
        <f t="shared" si="294"/>
        <v>347.03853350766195</v>
      </c>
      <c r="T145" s="317">
        <f t="shared" si="295"/>
        <v>0</v>
      </c>
      <c r="U145" s="317">
        <f t="shared" si="296"/>
        <v>698.47346505331291</v>
      </c>
      <c r="V145" s="317">
        <f t="shared" si="297"/>
        <v>580.5619404610884</v>
      </c>
      <c r="W145" s="317">
        <f t="shared" si="298"/>
        <v>4.1139977821075258</v>
      </c>
      <c r="X145" s="316">
        <f t="shared" si="299"/>
        <v>809.07223689730927</v>
      </c>
      <c r="Z145" s="239" t="s">
        <v>27</v>
      </c>
      <c r="AA145" s="453"/>
      <c r="AB145" s="453">
        <v>17048.7</v>
      </c>
      <c r="AC145" s="453">
        <v>366.7</v>
      </c>
      <c r="AD145" s="453">
        <v>2865.8</v>
      </c>
      <c r="AE145" s="453">
        <v>3320.9</v>
      </c>
      <c r="AF145" s="453">
        <v>15.7</v>
      </c>
      <c r="AG145" s="622">
        <f t="shared" si="307"/>
        <v>23617.800000000003</v>
      </c>
    </row>
    <row r="146" spans="1:34">
      <c r="A146" s="216" t="s">
        <v>28</v>
      </c>
      <c r="J146" s="487">
        <f t="shared" si="301"/>
        <v>0</v>
      </c>
      <c r="K146" s="487">
        <f t="shared" ref="K146:K148" si="308">IFERROR(AB146*85.9845228/1000,"")</f>
        <v>126.13069649532</v>
      </c>
      <c r="L146" s="487">
        <f t="shared" si="302"/>
        <v>0</v>
      </c>
      <c r="M146" s="487">
        <f t="shared" si="303"/>
        <v>88.271711106479984</v>
      </c>
      <c r="N146" s="487">
        <f t="shared" si="304"/>
        <v>105.03869305247999</v>
      </c>
      <c r="O146" s="487">
        <f t="shared" si="305"/>
        <v>0</v>
      </c>
      <c r="P146" s="298">
        <f t="shared" si="306"/>
        <v>319.44110065427998</v>
      </c>
      <c r="Q146" s="216" t="s">
        <v>21</v>
      </c>
      <c r="R146" s="317">
        <f t="shared" si="293"/>
        <v>0</v>
      </c>
      <c r="S146" s="317">
        <f t="shared" si="294"/>
        <v>391.22849957400268</v>
      </c>
      <c r="T146" s="317">
        <f t="shared" si="295"/>
        <v>0</v>
      </c>
      <c r="U146" s="317">
        <f t="shared" si="296"/>
        <v>589.1952504518307</v>
      </c>
      <c r="V146" s="317">
        <f t="shared" si="297"/>
        <v>331.63941557914598</v>
      </c>
      <c r="W146" s="317">
        <f t="shared" si="298"/>
        <v>4.078657272525545</v>
      </c>
      <c r="X146" s="316">
        <f t="shared" si="299"/>
        <v>389.48535855507328</v>
      </c>
      <c r="Z146" s="239" t="s">
        <v>28</v>
      </c>
      <c r="AA146" s="453"/>
      <c r="AB146" s="453">
        <v>1466.9</v>
      </c>
      <c r="AC146" s="453"/>
      <c r="AD146" s="453">
        <v>1026.5999999999999</v>
      </c>
      <c r="AE146" s="453">
        <v>1221.5999999999999</v>
      </c>
      <c r="AF146" s="453">
        <v>0</v>
      </c>
      <c r="AG146" s="622">
        <f t="shared" si="307"/>
        <v>3715.1</v>
      </c>
    </row>
    <row r="147" spans="1:34">
      <c r="A147" s="216" t="s">
        <v>29</v>
      </c>
      <c r="J147" s="487">
        <f t="shared" si="301"/>
        <v>0</v>
      </c>
      <c r="K147" s="487">
        <f t="shared" si="308"/>
        <v>69.337919185919986</v>
      </c>
      <c r="L147" s="487">
        <f t="shared" si="302"/>
        <v>10.980223561560001</v>
      </c>
      <c r="M147" s="487">
        <f t="shared" si="303"/>
        <v>68.168529675839991</v>
      </c>
      <c r="N147" s="487">
        <f t="shared" si="304"/>
        <v>320.78245920995994</v>
      </c>
      <c r="O147" s="487">
        <f t="shared" si="305"/>
        <v>0.32674118663999996</v>
      </c>
      <c r="P147" s="298">
        <f t="shared" si="306"/>
        <v>469.59587281991992</v>
      </c>
      <c r="Q147" s="216" t="s">
        <v>23</v>
      </c>
      <c r="R147" s="317">
        <f t="shared" si="293"/>
        <v>0</v>
      </c>
      <c r="S147" s="317">
        <f t="shared" si="294"/>
        <v>0</v>
      </c>
      <c r="T147" s="317">
        <f t="shared" si="295"/>
        <v>0</v>
      </c>
      <c r="U147" s="317">
        <f t="shared" si="296"/>
        <v>0</v>
      </c>
      <c r="V147" s="317">
        <f t="shared" si="297"/>
        <v>0</v>
      </c>
      <c r="W147" s="317">
        <f t="shared" si="298"/>
        <v>0</v>
      </c>
      <c r="X147" s="316">
        <f t="shared" si="299"/>
        <v>0</v>
      </c>
      <c r="Z147" s="239" t="s">
        <v>29</v>
      </c>
      <c r="AA147" s="453"/>
      <c r="AB147" s="453">
        <v>806.4</v>
      </c>
      <c r="AC147" s="453">
        <v>127.7</v>
      </c>
      <c r="AD147" s="453">
        <v>792.8</v>
      </c>
      <c r="AE147" s="453">
        <v>3730.7</v>
      </c>
      <c r="AF147" s="453">
        <v>3.8</v>
      </c>
      <c r="AG147" s="622">
        <f t="shared" si="307"/>
        <v>5461.4000000000005</v>
      </c>
    </row>
    <row r="148" spans="1:34">
      <c r="A148" s="216" t="s">
        <v>388</v>
      </c>
      <c r="J148" s="487">
        <f t="shared" si="301"/>
        <v>0</v>
      </c>
      <c r="K148" s="487">
        <f t="shared" si="308"/>
        <v>1.719690456E-2</v>
      </c>
      <c r="L148" s="487">
        <f t="shared" si="302"/>
        <v>0</v>
      </c>
      <c r="M148" s="487">
        <f t="shared" si="303"/>
        <v>0</v>
      </c>
      <c r="N148" s="487">
        <f t="shared" si="304"/>
        <v>0</v>
      </c>
      <c r="O148" s="487">
        <f t="shared" si="305"/>
        <v>0</v>
      </c>
      <c r="P148" s="220">
        <f t="shared" si="306"/>
        <v>1.719690456E-2</v>
      </c>
      <c r="Q148" s="216" t="str">
        <f>A148</f>
        <v>a celle combustibile (CEC)</v>
      </c>
      <c r="R148" s="317">
        <f t="shared" si="293"/>
        <v>0</v>
      </c>
      <c r="S148" s="317">
        <f t="shared" si="294"/>
        <v>0</v>
      </c>
      <c r="T148" s="317">
        <f t="shared" si="295"/>
        <v>0</v>
      </c>
      <c r="U148" s="317">
        <f t="shared" si="296"/>
        <v>0</v>
      </c>
      <c r="V148" s="317">
        <f t="shared" si="297"/>
        <v>0</v>
      </c>
      <c r="W148" s="317">
        <f t="shared" si="298"/>
        <v>0</v>
      </c>
      <c r="X148" s="316">
        <f t="shared" si="299"/>
        <v>0</v>
      </c>
      <c r="Z148" s="239" t="s">
        <v>388</v>
      </c>
      <c r="AA148" s="453"/>
      <c r="AB148" s="453">
        <v>0.2</v>
      </c>
      <c r="AC148" s="453"/>
      <c r="AD148" s="453">
        <v>0</v>
      </c>
      <c r="AE148" s="453"/>
      <c r="AF148" s="453">
        <v>0</v>
      </c>
      <c r="AG148" s="622">
        <f t="shared" si="307"/>
        <v>0.2</v>
      </c>
      <c r="AH148" s="237"/>
    </row>
    <row r="149" spans="1:34">
      <c r="A149" s="223" t="s">
        <v>277</v>
      </c>
      <c r="J149" s="209">
        <f t="shared" ref="J149:O149" si="309">SUM(J150:J155)</f>
        <v>0</v>
      </c>
      <c r="K149" s="209">
        <f t="shared" si="309"/>
        <v>15511.91</v>
      </c>
      <c r="L149" s="209">
        <f t="shared" si="309"/>
        <v>399.34000000000003</v>
      </c>
      <c r="M149" s="209">
        <f t="shared" si="309"/>
        <v>866.61999999999989</v>
      </c>
      <c r="N149" s="209">
        <f t="shared" si="309"/>
        <v>3526.7999999999997</v>
      </c>
      <c r="O149" s="209">
        <f t="shared" si="309"/>
        <v>1283.74</v>
      </c>
      <c r="P149" s="298">
        <f>SUM(J149:O149)</f>
        <v>21588.41</v>
      </c>
      <c r="Q149" s="223" t="s">
        <v>24</v>
      </c>
      <c r="R149" s="316">
        <f t="shared" si="293"/>
        <v>0</v>
      </c>
      <c r="S149" s="316">
        <f t="shared" si="294"/>
        <v>355.26044254316969</v>
      </c>
      <c r="T149" s="316">
        <f t="shared" si="295"/>
        <v>1585.689437343088</v>
      </c>
      <c r="U149" s="316">
        <f t="shared" si="296"/>
        <v>432.49081155363177</v>
      </c>
      <c r="V149" s="316">
        <f t="shared" si="297"/>
        <v>343.39692487158572</v>
      </c>
      <c r="W149" s="316">
        <f t="shared" si="298"/>
        <v>3.3618281100046463</v>
      </c>
      <c r="X149" s="316">
        <f t="shared" si="299"/>
        <v>355.81471422807027</v>
      </c>
      <c r="Z149" s="621" t="s">
        <v>473</v>
      </c>
      <c r="AA149" s="470">
        <f t="shared" ref="AA149:AF149" si="310">SUM(AA150:AA155)</f>
        <v>0</v>
      </c>
      <c r="AB149" s="470">
        <f t="shared" si="310"/>
        <v>32987.4</v>
      </c>
      <c r="AC149" s="470">
        <f t="shared" si="310"/>
        <v>476.40000000000003</v>
      </c>
      <c r="AD149" s="470">
        <f t="shared" si="310"/>
        <v>5022.6000000000004</v>
      </c>
      <c r="AE149" s="470">
        <f t="shared" si="310"/>
        <v>6171.8</v>
      </c>
      <c r="AF149" s="470">
        <f t="shared" si="310"/>
        <v>1497.4</v>
      </c>
      <c r="AG149" s="622">
        <f>SUM(AA149:AF149)</f>
        <v>46155.600000000006</v>
      </c>
      <c r="AH149" s="237"/>
    </row>
    <row r="150" spans="1:34">
      <c r="A150" s="216" t="s">
        <v>25</v>
      </c>
      <c r="J150" s="177"/>
      <c r="K150" s="177">
        <v>2494.37</v>
      </c>
      <c r="L150" s="177">
        <v>36.340000000000003</v>
      </c>
      <c r="M150" s="177">
        <v>3</v>
      </c>
      <c r="N150" s="177">
        <v>339.7</v>
      </c>
      <c r="O150" s="177">
        <v>1274.54</v>
      </c>
      <c r="P150" s="298">
        <f t="shared" ref="P150:P155" si="311">SUM(J150:O150)</f>
        <v>4147.95</v>
      </c>
      <c r="Q150" s="216" t="s">
        <v>25</v>
      </c>
      <c r="R150" s="317">
        <f t="shared" si="293"/>
        <v>0</v>
      </c>
      <c r="S150" s="317">
        <f t="shared" si="294"/>
        <v>332.2496248641267</v>
      </c>
      <c r="T150" s="317">
        <f t="shared" si="295"/>
        <v>1298.631006854599</v>
      </c>
      <c r="U150" s="317">
        <f t="shared" si="296"/>
        <v>425.13619286270529</v>
      </c>
      <c r="V150" s="317">
        <f t="shared" si="297"/>
        <v>334.9412302933423</v>
      </c>
      <c r="W150" s="317">
        <f t="shared" si="298"/>
        <v>3.3605199944814439</v>
      </c>
      <c r="X150" s="316">
        <f t="shared" si="299"/>
        <v>245.12056974582444</v>
      </c>
      <c r="Z150" s="239" t="s">
        <v>25</v>
      </c>
      <c r="AA150" s="453"/>
      <c r="AB150" s="453">
        <v>8381.9</v>
      </c>
      <c r="AC150" s="453">
        <v>87.9</v>
      </c>
      <c r="AD150" s="453">
        <v>8.1999999999999993</v>
      </c>
      <c r="AE150" s="453">
        <v>818.1</v>
      </c>
      <c r="AF150" s="453">
        <v>1481.9</v>
      </c>
      <c r="AG150" s="622">
        <f t="shared" ref="AG150:AG155" si="312">SUM(AA150:AF150)</f>
        <v>10778</v>
      </c>
    </row>
    <row r="151" spans="1:34">
      <c r="A151" s="216" t="s">
        <v>26</v>
      </c>
      <c r="J151" s="177"/>
      <c r="K151" s="177">
        <v>1625.34</v>
      </c>
      <c r="L151" s="177"/>
      <c r="M151" s="177">
        <v>149.91999999999999</v>
      </c>
      <c r="N151" s="177">
        <v>11.7</v>
      </c>
      <c r="O151" s="177">
        <v>0.8</v>
      </c>
      <c r="P151" s="298">
        <f t="shared" si="311"/>
        <v>1787.76</v>
      </c>
      <c r="Q151" s="216" t="s">
        <v>26</v>
      </c>
      <c r="R151" s="317">
        <f t="shared" si="293"/>
        <v>0</v>
      </c>
      <c r="S151" s="317">
        <f t="shared" si="294"/>
        <v>317.10719649206055</v>
      </c>
      <c r="T151" s="317">
        <f t="shared" si="295"/>
        <v>0</v>
      </c>
      <c r="U151" s="317">
        <f t="shared" si="296"/>
        <v>367.66237182392314</v>
      </c>
      <c r="V151" s="317">
        <f t="shared" si="297"/>
        <v>427.94949152830054</v>
      </c>
      <c r="W151" s="317">
        <f t="shared" si="298"/>
        <v>2.8295061838393716</v>
      </c>
      <c r="X151" s="316">
        <f t="shared" si="299"/>
        <v>321.02693453549529</v>
      </c>
      <c r="Z151" s="239" t="s">
        <v>26</v>
      </c>
      <c r="AA151" s="453"/>
      <c r="AB151" s="453">
        <v>8496.7000000000007</v>
      </c>
      <c r="AC151" s="453"/>
      <c r="AD151" s="453">
        <v>580.1</v>
      </c>
      <c r="AE151" s="453">
        <v>30.1</v>
      </c>
      <c r="AF151" s="453">
        <v>3.8</v>
      </c>
      <c r="AG151" s="622">
        <f t="shared" si="312"/>
        <v>9110.7000000000007</v>
      </c>
      <c r="AH151" s="240"/>
    </row>
    <row r="152" spans="1:34">
      <c r="A152" s="216" t="s">
        <v>27</v>
      </c>
      <c r="J152" s="177"/>
      <c r="K152" s="177">
        <v>10920.15</v>
      </c>
      <c r="L152" s="177">
        <v>174.8</v>
      </c>
      <c r="M152" s="177">
        <v>487.4</v>
      </c>
      <c r="N152" s="177">
        <v>1406.8</v>
      </c>
      <c r="O152" s="177">
        <v>7.5</v>
      </c>
      <c r="P152" s="298">
        <f t="shared" si="311"/>
        <v>12996.649999999998</v>
      </c>
      <c r="Q152" s="216" t="s">
        <v>27</v>
      </c>
      <c r="R152" s="317">
        <f t="shared" si="293"/>
        <v>0</v>
      </c>
      <c r="S152" s="317">
        <f t="shared" si="294"/>
        <v>361.29716255840128</v>
      </c>
      <c r="T152" s="317">
        <f t="shared" si="295"/>
        <v>1508.853717934421</v>
      </c>
      <c r="U152" s="317">
        <f t="shared" si="296"/>
        <v>462.90875342210217</v>
      </c>
      <c r="V152" s="317">
        <f t="shared" si="297"/>
        <v>254.23973299311567</v>
      </c>
      <c r="W152" s="317">
        <f t="shared" si="298"/>
        <v>3.5168337868632831</v>
      </c>
      <c r="X152" s="316">
        <f t="shared" si="299"/>
        <v>362.74582423090402</v>
      </c>
      <c r="Z152" s="239" t="s">
        <v>27</v>
      </c>
      <c r="AA152" s="453"/>
      <c r="AB152" s="453">
        <v>14011.6</v>
      </c>
      <c r="AC152" s="453">
        <v>303.8</v>
      </c>
      <c r="AD152" s="453">
        <v>2666.2</v>
      </c>
      <c r="AE152" s="453">
        <v>1865.3</v>
      </c>
      <c r="AF152" s="453">
        <v>10.5</v>
      </c>
      <c r="AG152" s="622">
        <f t="shared" si="312"/>
        <v>18857.399999999998</v>
      </c>
      <c r="AH152" s="237"/>
    </row>
    <row r="153" spans="1:34">
      <c r="A153" s="216" t="s">
        <v>28</v>
      </c>
      <c r="J153" s="177">
        <v>0</v>
      </c>
      <c r="K153" s="177">
        <v>189.55</v>
      </c>
      <c r="L153" s="177"/>
      <c r="M153" s="177">
        <v>123.9</v>
      </c>
      <c r="N153" s="177">
        <v>207.6</v>
      </c>
      <c r="O153" s="177">
        <v>0</v>
      </c>
      <c r="P153" s="298">
        <f t="shared" si="311"/>
        <v>521.05000000000007</v>
      </c>
      <c r="Q153" s="216" t="s">
        <v>28</v>
      </c>
      <c r="R153" s="317">
        <f t="shared" si="293"/>
        <v>0</v>
      </c>
      <c r="S153" s="317">
        <f t="shared" si="294"/>
        <v>279.04490572025247</v>
      </c>
      <c r="T153" s="317">
        <f t="shared" si="295"/>
        <v>0</v>
      </c>
      <c r="U153" s="317">
        <f t="shared" si="296"/>
        <v>358.23694864493672</v>
      </c>
      <c r="V153" s="317">
        <f t="shared" si="297"/>
        <v>244.20564671880481</v>
      </c>
      <c r="W153" s="317">
        <f t="shared" si="298"/>
        <v>0</v>
      </c>
      <c r="X153" s="316">
        <f t="shared" si="299"/>
        <v>272.02768472120795</v>
      </c>
      <c r="Z153" s="239" t="s">
        <v>28</v>
      </c>
      <c r="AA153" s="453"/>
      <c r="AB153" s="453">
        <v>1390.9</v>
      </c>
      <c r="AC153" s="453"/>
      <c r="AD153" s="453">
        <v>1023.8</v>
      </c>
      <c r="AE153" s="453">
        <v>1020.3</v>
      </c>
      <c r="AF153" s="453">
        <v>0</v>
      </c>
      <c r="AG153" s="622">
        <f t="shared" si="312"/>
        <v>3435</v>
      </c>
      <c r="AH153" s="237"/>
    </row>
    <row r="154" spans="1:34">
      <c r="A154" s="216" t="s">
        <v>29</v>
      </c>
      <c r="J154" s="177">
        <v>0</v>
      </c>
      <c r="K154" s="177">
        <v>282.39999999999998</v>
      </c>
      <c r="L154" s="177">
        <v>188.2</v>
      </c>
      <c r="M154" s="177">
        <v>102.4</v>
      </c>
      <c r="N154" s="177">
        <v>1561</v>
      </c>
      <c r="O154" s="177">
        <v>0.9</v>
      </c>
      <c r="P154" s="298">
        <f t="shared" si="311"/>
        <v>2134.9</v>
      </c>
      <c r="Q154" s="216" t="s">
        <v>29</v>
      </c>
      <c r="R154" s="317">
        <f t="shared" si="293"/>
        <v>0</v>
      </c>
      <c r="S154" s="317">
        <f t="shared" si="294"/>
        <v>521.97187917561587</v>
      </c>
      <c r="T154" s="317">
        <f t="shared" si="295"/>
        <v>1715.2062201073343</v>
      </c>
      <c r="U154" s="317">
        <f t="shared" si="296"/>
        <v>449.65646669676039</v>
      </c>
      <c r="V154" s="317">
        <f t="shared" si="297"/>
        <v>525.84615376869226</v>
      </c>
      <c r="W154" s="317">
        <f t="shared" si="298"/>
        <v>5.1134998864389347</v>
      </c>
      <c r="X154" s="316">
        <f t="shared" si="299"/>
        <v>673.35052119853844</v>
      </c>
      <c r="Z154" s="239" t="s">
        <v>29</v>
      </c>
      <c r="AA154" s="453"/>
      <c r="AB154" s="453">
        <v>706.3</v>
      </c>
      <c r="AC154" s="453">
        <v>84.7</v>
      </c>
      <c r="AD154" s="453">
        <v>744.3</v>
      </c>
      <c r="AE154" s="453">
        <v>2438</v>
      </c>
      <c r="AF154" s="453">
        <v>1.2</v>
      </c>
      <c r="AG154" s="622">
        <f t="shared" si="312"/>
        <v>3974.5</v>
      </c>
      <c r="AH154" s="237"/>
    </row>
    <row r="155" spans="1:34">
      <c r="A155" s="216" t="s">
        <v>388</v>
      </c>
      <c r="K155">
        <v>0.1</v>
      </c>
      <c r="M155" s="177"/>
      <c r="P155" s="298">
        <f t="shared" si="311"/>
        <v>0.1</v>
      </c>
      <c r="Q155" s="216" t="str">
        <f>A155</f>
        <v>a celle combustibile (CEC)</v>
      </c>
      <c r="R155" s="317">
        <f t="shared" si="293"/>
        <v>0</v>
      </c>
      <c r="S155" s="317">
        <f t="shared" si="294"/>
        <v>422.92743523225761</v>
      </c>
      <c r="T155" s="317">
        <f t="shared" si="295"/>
        <v>0</v>
      </c>
      <c r="U155" s="317">
        <f t="shared" si="296"/>
        <v>0</v>
      </c>
      <c r="V155" s="317">
        <f t="shared" si="297"/>
        <v>0</v>
      </c>
      <c r="W155" s="317">
        <f t="shared" si="298"/>
        <v>0</v>
      </c>
      <c r="X155" s="316">
        <f t="shared" si="299"/>
        <v>384.47948657477963</v>
      </c>
      <c r="Z155" s="239" t="s">
        <v>388</v>
      </c>
      <c r="AA155" s="453"/>
      <c r="AB155" s="453"/>
      <c r="AC155" s="453"/>
      <c r="AD155" s="453"/>
      <c r="AE155" s="453"/>
      <c r="AF155" s="453"/>
      <c r="AG155" s="622">
        <f t="shared" si="312"/>
        <v>0</v>
      </c>
      <c r="AH155" s="456"/>
    </row>
    <row r="156" spans="1:34">
      <c r="J156" s="477"/>
      <c r="K156" s="201"/>
      <c r="L156" s="201"/>
      <c r="M156" s="201"/>
      <c r="N156" s="201"/>
      <c r="O156" s="201"/>
      <c r="Q156" s="223" t="s">
        <v>10</v>
      </c>
      <c r="R156" s="225">
        <f t="shared" ref="R156:X156" si="313">R131/J112*1000000</f>
        <v>932.31062438875733</v>
      </c>
      <c r="S156" s="316">
        <f t="shared" si="313"/>
        <v>369.60010461064593</v>
      </c>
      <c r="T156" s="316">
        <f t="shared" si="313"/>
        <v>1585.5805471198173</v>
      </c>
      <c r="U156" s="316">
        <f t="shared" si="313"/>
        <v>578.84442979447294</v>
      </c>
      <c r="V156" s="316">
        <f t="shared" si="313"/>
        <v>393.60023321308518</v>
      </c>
      <c r="W156" s="316">
        <f t="shared" si="313"/>
        <v>3.711948249148163</v>
      </c>
      <c r="X156" s="225">
        <f t="shared" si="313"/>
        <v>436.6863844320448</v>
      </c>
      <c r="AA156" s="216"/>
      <c r="AB156" s="237"/>
      <c r="AC156" s="237"/>
      <c r="AD156" s="451"/>
      <c r="AE156" s="216"/>
      <c r="AF156" s="215"/>
      <c r="AG156" s="237"/>
      <c r="AH156" s="456"/>
    </row>
    <row r="157" spans="1:34">
      <c r="J157" s="90" t="str">
        <f t="shared" ref="J157:O157" si="314">IFERROR((J105/11.63+J142)/J149,"")</f>
        <v/>
      </c>
      <c r="K157" s="90">
        <f t="shared" si="314"/>
        <v>0.6656452959782182</v>
      </c>
      <c r="L157" s="90">
        <f t="shared" si="314"/>
        <v>0.46914252887330665</v>
      </c>
      <c r="M157" s="90">
        <f t="shared" si="314"/>
        <v>0.77966794953803842</v>
      </c>
      <c r="N157" s="90">
        <f t="shared" si="314"/>
        <v>0.56672791983001525</v>
      </c>
      <c r="O157" s="90">
        <f t="shared" si="314"/>
        <v>0.58618759858091296</v>
      </c>
      <c r="P157" s="301">
        <f>P149-('5-x'!$AA$82+'5-x'!$AA$84)</f>
        <v>367.21999999999753</v>
      </c>
      <c r="R157" s="226">
        <f>'12'!$AH$6</f>
        <v>932.31341784665949</v>
      </c>
      <c r="S157" s="361">
        <f>'12'!$AH$7</f>
        <v>369.59996818488389</v>
      </c>
      <c r="T157" s="234"/>
      <c r="U157" s="234"/>
      <c r="V157" s="234"/>
      <c r="W157" s="234"/>
      <c r="X157" s="226">
        <f>'12'!$AH$11</f>
        <v>435.14555352238449</v>
      </c>
      <c r="Z157" s="621" t="s">
        <v>474</v>
      </c>
      <c r="AA157" s="625" t="str">
        <f t="shared" ref="AA157:AG157" si="315">IFERROR(AA149/AA142,"")</f>
        <v/>
      </c>
      <c r="AB157" s="625">
        <f t="shared" si="315"/>
        <v>0.8884872709251338</v>
      </c>
      <c r="AC157" s="625">
        <f t="shared" si="315"/>
        <v>0.81813498196805767</v>
      </c>
      <c r="AD157" s="625">
        <f t="shared" si="315"/>
        <v>0.89024779325747105</v>
      </c>
      <c r="AE157" s="625">
        <f t="shared" si="315"/>
        <v>0.61527878854340079</v>
      </c>
      <c r="AF157" s="625">
        <f t="shared" si="315"/>
        <v>0.45451510092578545</v>
      </c>
      <c r="AG157" s="625">
        <f t="shared" si="315"/>
        <v>0.81436065006854608</v>
      </c>
      <c r="AH157" s="240"/>
    </row>
    <row r="158" spans="1:34">
      <c r="J158" s="90" t="str">
        <f t="shared" ref="J158:O158" si="316">IFERROR((J106/11.63+J143)/J150,"")</f>
        <v/>
      </c>
      <c r="K158" s="90">
        <f t="shared" si="316"/>
        <v>0.72767483728382854</v>
      </c>
      <c r="L158" s="90">
        <f t="shared" si="316"/>
        <v>0.58289177736779363</v>
      </c>
      <c r="M158" s="90">
        <f t="shared" si="316"/>
        <v>0.76239610211252495</v>
      </c>
      <c r="N158" s="90">
        <f t="shared" si="316"/>
        <v>0.66825946020275695</v>
      </c>
      <c r="O158" s="90">
        <f t="shared" si="316"/>
        <v>0.58630901397666046</v>
      </c>
      <c r="P158" s="305">
        <f>(P124/41.868)-'5-x'!$AA$82</f>
        <v>439.45013160408598</v>
      </c>
      <c r="R158" s="234">
        <f>R156-R157</f>
        <v>-2.7934579021575701E-3</v>
      </c>
      <c r="S158" s="202">
        <f>S156-S157</f>
        <v>1.3642576203665158E-4</v>
      </c>
      <c r="T158" s="202"/>
      <c r="U158" s="202"/>
      <c r="V158" s="202"/>
      <c r="W158" s="202"/>
      <c r="X158" s="227">
        <f>X156-X157</f>
        <v>1.5408309096603148</v>
      </c>
      <c r="Z158" s="239" t="s">
        <v>25</v>
      </c>
      <c r="AA158" s="626" t="str">
        <f>IFERROR(AA150/AA143,"")</f>
        <v/>
      </c>
      <c r="AB158" s="626">
        <f t="shared" ref="AB158:AG158" si="317">IFERROR(AB150/AB143,"")</f>
        <v>0.93260714762561747</v>
      </c>
      <c r="AC158" s="626">
        <f t="shared" si="317"/>
        <v>1</v>
      </c>
      <c r="AD158" s="626">
        <f t="shared" si="317"/>
        <v>0.49696969696969695</v>
      </c>
      <c r="AE158" s="626">
        <f t="shared" si="317"/>
        <v>0.48419744318181823</v>
      </c>
      <c r="AF158" s="626">
        <f t="shared" si="317"/>
        <v>0.45304188321614186</v>
      </c>
      <c r="AG158" s="625">
        <f t="shared" si="317"/>
        <v>0.76697550631199918</v>
      </c>
      <c r="AH158" s="237"/>
    </row>
    <row r="159" spans="1:34">
      <c r="J159" s="90" t="str">
        <f t="shared" ref="J159:O159" si="318">IFERROR((J107/11.63+J144)/J151,"")</f>
        <v/>
      </c>
      <c r="K159" s="90">
        <f t="shared" si="318"/>
        <v>0.78701966893425324</v>
      </c>
      <c r="L159" s="90" t="str">
        <f t="shared" si="318"/>
        <v/>
      </c>
      <c r="M159" s="90">
        <f t="shared" si="318"/>
        <v>0.81723150033940517</v>
      </c>
      <c r="N159" s="90">
        <f t="shared" si="318"/>
        <v>0.64231173439725142</v>
      </c>
      <c r="O159" s="90">
        <f t="shared" si="318"/>
        <v>0.7416165090988821</v>
      </c>
      <c r="P159" s="305">
        <f>(P117/41.868)-'5-x'!$AA$83</f>
        <v>1303.4940431833384</v>
      </c>
      <c r="Z159" s="239" t="s">
        <v>26</v>
      </c>
      <c r="AA159" s="626" t="str">
        <f t="shared" ref="AA159:AG159" si="319">IFERROR(AA151/AA144,"")</f>
        <v/>
      </c>
      <c r="AB159" s="626">
        <f t="shared" si="319"/>
        <v>0.96358502120710399</v>
      </c>
      <c r="AC159" s="626" t="str">
        <f t="shared" si="319"/>
        <v/>
      </c>
      <c r="AD159" s="626">
        <f t="shared" si="319"/>
        <v>0.61706201467928945</v>
      </c>
      <c r="AE159" s="626">
        <f t="shared" si="319"/>
        <v>0.44199706314243764</v>
      </c>
      <c r="AF159" s="626">
        <f t="shared" si="319"/>
        <v>0.95</v>
      </c>
      <c r="AG159" s="625">
        <f t="shared" si="319"/>
        <v>0.92682604272634794</v>
      </c>
      <c r="AH159" s="237"/>
    </row>
    <row r="160" spans="1:34">
      <c r="J160" s="90" t="str">
        <f t="shared" ref="J160:O160" si="320">IFERROR((J108/11.63+J145)/J152,"")</f>
        <v/>
      </c>
      <c r="K160" s="90">
        <f t="shared" si="320"/>
        <v>0.63312243125737921</v>
      </c>
      <c r="L160" s="90">
        <f t="shared" si="320"/>
        <v>0.51595632697540028</v>
      </c>
      <c r="M160" s="90">
        <f t="shared" si="320"/>
        <v>0.74704567137787847</v>
      </c>
      <c r="N160" s="90">
        <f t="shared" si="320"/>
        <v>0.66237053733998463</v>
      </c>
      <c r="O160" s="90">
        <f t="shared" si="320"/>
        <v>0.55144740616308163</v>
      </c>
      <c r="Z160" s="239" t="s">
        <v>27</v>
      </c>
      <c r="AA160" s="626" t="str">
        <f t="shared" ref="AA160:AG160" si="321">IFERROR(AA152/AA145,"")</f>
        <v/>
      </c>
      <c r="AB160" s="626">
        <f t="shared" si="321"/>
        <v>0.82185738502055872</v>
      </c>
      <c r="AC160" s="626">
        <f t="shared" si="321"/>
        <v>0.82847013907826572</v>
      </c>
      <c r="AD160" s="626">
        <f t="shared" si="321"/>
        <v>0.93035103635982963</v>
      </c>
      <c r="AE160" s="626">
        <f t="shared" si="321"/>
        <v>0.56168508536842421</v>
      </c>
      <c r="AF160" s="626">
        <f t="shared" si="321"/>
        <v>0.66878980891719753</v>
      </c>
      <c r="AG160" s="625">
        <f t="shared" si="321"/>
        <v>0.79844015954068526</v>
      </c>
      <c r="AH160" s="237"/>
    </row>
    <row r="161" spans="1:34">
      <c r="J161" s="90" t="str">
        <f t="shared" ref="J161:O161" si="322">IFERROR((J109/11.63+J146)/J153,"")</f>
        <v/>
      </c>
      <c r="K161" s="90">
        <f t="shared" si="322"/>
        <v>0.8681964548976232</v>
      </c>
      <c r="L161" s="90" t="str">
        <f t="shared" si="322"/>
        <v/>
      </c>
      <c r="M161" s="90">
        <f t="shared" si="322"/>
        <v>0.83527822146556907</v>
      </c>
      <c r="N161" s="90">
        <f t="shared" si="322"/>
        <v>0.77974211278400252</v>
      </c>
      <c r="O161" s="90" t="str">
        <f t="shared" si="322"/>
        <v/>
      </c>
      <c r="Z161" s="239" t="s">
        <v>28</v>
      </c>
      <c r="AA161" s="626" t="str">
        <f t="shared" ref="AA161:AG161" si="323">IFERROR(AA153/AA146,"")</f>
        <v/>
      </c>
      <c r="AB161" s="626">
        <f t="shared" si="323"/>
        <v>0.94819006067216582</v>
      </c>
      <c r="AC161" s="626" t="str">
        <f t="shared" si="323"/>
        <v/>
      </c>
      <c r="AD161" s="626">
        <f t="shared" si="323"/>
        <v>0.99727255016559524</v>
      </c>
      <c r="AE161" s="626">
        <f t="shared" si="323"/>
        <v>0.83521611001964635</v>
      </c>
      <c r="AF161" s="626" t="str">
        <f t="shared" si="323"/>
        <v/>
      </c>
      <c r="AG161" s="625">
        <f t="shared" si="323"/>
        <v>0.92460499044440259</v>
      </c>
      <c r="AH161" s="237"/>
    </row>
    <row r="162" spans="1:34">
      <c r="J162" s="90" t="str">
        <f t="shared" ref="J162:O162" si="324">IFERROR((J110/11.63+J147)/J154,"")</f>
        <v/>
      </c>
      <c r="K162" s="90">
        <f t="shared" si="324"/>
        <v>0.54097783649429465</v>
      </c>
      <c r="L162" s="90">
        <f t="shared" si="324"/>
        <v>0.40369779136780398</v>
      </c>
      <c r="M162" s="90">
        <f t="shared" si="324"/>
        <v>0.81315831911175551</v>
      </c>
      <c r="N162" s="90">
        <f t="shared" si="324"/>
        <v>0.42954254144095039</v>
      </c>
      <c r="O162" s="90">
        <f t="shared" si="324"/>
        <v>0.5636763161004299</v>
      </c>
      <c r="Z162" s="239" t="s">
        <v>29</v>
      </c>
      <c r="AA162" s="626" t="str">
        <f t="shared" ref="AA162:AG162" si="325">IFERROR(AA154/AA147,"")</f>
        <v/>
      </c>
      <c r="AB162" s="626">
        <f t="shared" si="325"/>
        <v>0.87586805555555547</v>
      </c>
      <c r="AC162" s="626">
        <f t="shared" si="325"/>
        <v>0.6632732967893501</v>
      </c>
      <c r="AD162" s="626">
        <f t="shared" si="325"/>
        <v>0.93882441977800202</v>
      </c>
      <c r="AE162" s="626">
        <f t="shared" si="325"/>
        <v>0.653496662824671</v>
      </c>
      <c r="AF162" s="626">
        <f t="shared" si="325"/>
        <v>0.31578947368421051</v>
      </c>
      <c r="AG162" s="625">
        <f t="shared" si="325"/>
        <v>0.72774380195554245</v>
      </c>
    </row>
    <row r="163" spans="1:34">
      <c r="J163" s="90" t="str">
        <f t="shared" ref="J163:O163" si="326">IFERROR((J111/11.63+J148)/J155,"")</f>
        <v/>
      </c>
      <c r="K163" s="90">
        <f t="shared" si="326"/>
        <v>0.34393809117179708</v>
      </c>
      <c r="L163" s="90" t="str">
        <f t="shared" si="326"/>
        <v/>
      </c>
      <c r="M163" s="90" t="str">
        <f t="shared" si="326"/>
        <v/>
      </c>
      <c r="N163" s="90" t="str">
        <f t="shared" si="326"/>
        <v/>
      </c>
      <c r="O163" s="90" t="str">
        <f t="shared" si="326"/>
        <v/>
      </c>
      <c r="Z163" s="239" t="s">
        <v>388</v>
      </c>
      <c r="AA163" s="626" t="str">
        <f>IFERROR(AA155/AA148,"")</f>
        <v/>
      </c>
      <c r="AB163" s="626">
        <f>IFERROR(AB155/AB148,"")</f>
        <v>0</v>
      </c>
      <c r="AC163" s="626" t="str">
        <f>IFERROR(AC155/AC148,"")</f>
        <v/>
      </c>
      <c r="AD163" s="626" t="str">
        <f>IFERROR(AD155/AD148,"")</f>
        <v/>
      </c>
      <c r="AE163" s="626" t="str">
        <f>IFERROR(AE155/AE148,"")</f>
        <v/>
      </c>
      <c r="AF163" s="626"/>
      <c r="AG163" s="625">
        <f>IFERROR(AG155/AG148,"")</f>
        <v>0</v>
      </c>
    </row>
    <row r="164" spans="1:34">
      <c r="A164" s="68" t="str">
        <f>$A$96</f>
        <v>Dati 2022 lorda</v>
      </c>
    </row>
    <row r="165" spans="1:34">
      <c r="A165" s="68" t="s">
        <v>281</v>
      </c>
      <c r="B165" s="68"/>
      <c r="C165" s="68"/>
      <c r="D165" s="68"/>
      <c r="E165" s="68"/>
      <c r="J165" s="479">
        <v>0</v>
      </c>
      <c r="K165" s="479">
        <v>8.7925818332898587</v>
      </c>
      <c r="L165" s="479">
        <v>0.41148818582244662</v>
      </c>
      <c r="M165" s="479">
        <v>1.3512023940560913</v>
      </c>
      <c r="N165" s="479">
        <v>2.1300422054669674</v>
      </c>
      <c r="O165" s="479">
        <v>8.6764949484990223E-4</v>
      </c>
      <c r="P165" s="480">
        <f>SUM(J165:O165)</f>
        <v>12.686182268130214</v>
      </c>
      <c r="Q165" t="s">
        <v>402</v>
      </c>
    </row>
    <row r="166" spans="1:34">
      <c r="A166" t="s">
        <v>282</v>
      </c>
      <c r="J166" s="211" t="str">
        <f>IFERROR(J165/(J142*11.63)*1000000,"")</f>
        <v/>
      </c>
      <c r="K166" s="211">
        <f t="shared" ref="K166:P166" si="327">IFERROR(K165/(K142*11.63)*1000000,"")</f>
        <v>236.82063564162172</v>
      </c>
      <c r="L166" s="211">
        <f t="shared" si="327"/>
        <v>706.66011635748339</v>
      </c>
      <c r="M166" s="211">
        <f t="shared" si="327"/>
        <v>239.49845684612964</v>
      </c>
      <c r="N166" s="211">
        <f t="shared" si="327"/>
        <v>212.34806499094208</v>
      </c>
      <c r="O166" s="211">
        <f t="shared" si="327"/>
        <v>0.26336302768481046</v>
      </c>
      <c r="P166" s="211">
        <f t="shared" si="327"/>
        <v>223.83259316460581</v>
      </c>
    </row>
    <row r="168" spans="1:34">
      <c r="A168" s="68" t="s">
        <v>283</v>
      </c>
      <c r="J168" s="304">
        <f t="shared" ref="J168:P168" si="328">J165+R124</f>
        <v>0</v>
      </c>
      <c r="K168" s="304">
        <f t="shared" si="328"/>
        <v>38.263975654409961</v>
      </c>
      <c r="L168" s="304">
        <f t="shared" si="328"/>
        <v>2.9431206570125541</v>
      </c>
      <c r="M168" s="304">
        <f t="shared" si="328"/>
        <v>2.3097361046105211</v>
      </c>
      <c r="N168" s="304">
        <f t="shared" si="328"/>
        <v>6.6678265294900498</v>
      </c>
      <c r="O168" s="304">
        <f t="shared" si="328"/>
        <v>1.9213885093329459E-2</v>
      </c>
      <c r="P168" s="304">
        <f t="shared" si="328"/>
        <v>50.203872830616419</v>
      </c>
    </row>
    <row r="169" spans="1:34">
      <c r="A169" t="s">
        <v>284</v>
      </c>
      <c r="J169" s="90">
        <f>IFERROR(J168/((J142*11.63)+J105)*1000000,"")</f>
        <v>0</v>
      </c>
      <c r="K169" s="211">
        <f t="shared" ref="K169:P169" si="329">K168/((K142*11.63)+K105)*1000000</f>
        <v>318.64142326540025</v>
      </c>
      <c r="L169" s="211">
        <f t="shared" si="329"/>
        <v>1350.7679082468089</v>
      </c>
      <c r="M169" s="211">
        <f t="shared" si="329"/>
        <v>293.93023313984668</v>
      </c>
      <c r="N169" s="211">
        <f t="shared" si="329"/>
        <v>286.84622392561801</v>
      </c>
      <c r="O169" s="211">
        <f t="shared" si="329"/>
        <v>2.1954410209813919</v>
      </c>
      <c r="P169" s="211">
        <f t="shared" si="329"/>
        <v>309.67345126790082</v>
      </c>
    </row>
    <row r="170" spans="1:34">
      <c r="J170" s="211" t="str">
        <f>IFERROR((J$534*J141*11.63/1000000+R123)/(J141*11.63+J104)*1000000,"")</f>
        <v/>
      </c>
      <c r="K170" s="198"/>
      <c r="L170" s="198"/>
      <c r="M170" s="198"/>
      <c r="N170" s="198"/>
      <c r="O170" s="198"/>
      <c r="P170" s="198"/>
    </row>
    <row r="171" spans="1:34">
      <c r="A171" t="s">
        <v>285</v>
      </c>
      <c r="J171" s="298" t="str">
        <f t="shared" ref="J171:P171" si="330">IFERROR((J166*J142*11.63/1000000+R124)/(J142*11.63+J105)*1000000,"")</f>
        <v/>
      </c>
      <c r="K171" s="298">
        <f t="shared" si="330"/>
        <v>318.64142326540025</v>
      </c>
      <c r="L171" s="298">
        <f t="shared" si="330"/>
        <v>1350.7679082468089</v>
      </c>
      <c r="M171" s="298">
        <f t="shared" si="330"/>
        <v>293.93023313984668</v>
      </c>
      <c r="N171" s="298">
        <f t="shared" si="330"/>
        <v>286.84622392561801</v>
      </c>
      <c r="O171" s="298">
        <f t="shared" si="330"/>
        <v>2.1954410209813919</v>
      </c>
      <c r="P171" s="298">
        <f t="shared" si="330"/>
        <v>309.67345126790082</v>
      </c>
      <c r="R171" s="285" t="str">
        <f t="shared" ref="R171:R177" si="331">IFERROR(J171/R149-1,"")</f>
        <v/>
      </c>
      <c r="S171" s="285">
        <f t="shared" ref="S171:S177" si="332">IFERROR(K171/S149-1,"")</f>
        <v>-0.1030765458029278</v>
      </c>
      <c r="T171" s="285">
        <f t="shared" ref="T171:T177" si="333">IFERROR(L171/T149-1,"")</f>
        <v>-0.14815103359072845</v>
      </c>
      <c r="U171" s="285">
        <f t="shared" ref="U171:U177" si="334">IFERROR(M171/U149-1,"")</f>
        <v>-0.32037808598993245</v>
      </c>
      <c r="V171" s="285">
        <f t="shared" ref="V171:V177" si="335">IFERROR(N171/V149-1,"")</f>
        <v>-0.16468027769064919</v>
      </c>
      <c r="W171" s="285">
        <f t="shared" ref="W171:W177" si="336">IFERROR(O171/W149-1,"")</f>
        <v>-0.34695024577614186</v>
      </c>
      <c r="X171" s="285">
        <f t="shared" ref="X171:X177" si="337">IFERROR(P171/X149-1,"")</f>
        <v>-0.12967778204527491</v>
      </c>
      <c r="AE171" s="216"/>
      <c r="AF171" s="215"/>
      <c r="AG171" s="237"/>
      <c r="AH171" s="237"/>
    </row>
    <row r="172" spans="1:34">
      <c r="A172" s="216" t="s">
        <v>25</v>
      </c>
      <c r="J172" s="211" t="str">
        <f t="shared" ref="J172:P172" si="338">IFERROR((J166*J143*11.63/1000000+R125)/(J143*11.63+J106)*1000000,"")</f>
        <v/>
      </c>
      <c r="K172" s="211">
        <f t="shared" si="338"/>
        <v>291.61969125049501</v>
      </c>
      <c r="L172" s="211">
        <f t="shared" si="338"/>
        <v>1087.4102182197901</v>
      </c>
      <c r="M172" s="211">
        <f t="shared" si="338"/>
        <v>309.98496562720777</v>
      </c>
      <c r="N172" s="211">
        <f t="shared" si="338"/>
        <v>256.48457633812643</v>
      </c>
      <c r="O172" s="211">
        <f t="shared" si="338"/>
        <v>2.1948274875283542</v>
      </c>
      <c r="P172" s="211">
        <f t="shared" si="338"/>
        <v>235.97594164343755</v>
      </c>
      <c r="R172" s="284" t="str">
        <f t="shared" si="331"/>
        <v/>
      </c>
      <c r="S172" s="284">
        <f t="shared" si="332"/>
        <v>-0.12228737242441512</v>
      </c>
      <c r="T172" s="284">
        <f t="shared" si="333"/>
        <v>-0.162648810570452</v>
      </c>
      <c r="U172" s="284">
        <f t="shared" si="334"/>
        <v>-0.27085726684456801</v>
      </c>
      <c r="V172" s="284">
        <f t="shared" si="335"/>
        <v>-0.23424006022341104</v>
      </c>
      <c r="W172" s="284">
        <f t="shared" si="336"/>
        <v>-0.3468786107112467</v>
      </c>
      <c r="X172" s="284">
        <f t="shared" si="337"/>
        <v>-3.730665325994198E-2</v>
      </c>
    </row>
    <row r="173" spans="1:34">
      <c r="A173" s="216" t="s">
        <v>26</v>
      </c>
      <c r="J173" s="211" t="str">
        <f t="shared" ref="J173:P173" si="339">IFERROR((J166*J144*11.63/1000000+R126)/(J144*11.63+J107)*1000000,"")</f>
        <v/>
      </c>
      <c r="K173" s="211">
        <f t="shared" si="339"/>
        <v>269.51962145480212</v>
      </c>
      <c r="L173" s="211" t="str">
        <f t="shared" si="339"/>
        <v/>
      </c>
      <c r="M173" s="211">
        <f t="shared" si="339"/>
        <v>283.10422986494592</v>
      </c>
      <c r="N173" s="211">
        <f t="shared" si="339"/>
        <v>259.95799098223841</v>
      </c>
      <c r="O173" s="211">
        <f t="shared" si="339"/>
        <v>1.3418869627776677</v>
      </c>
      <c r="P173" s="211">
        <f t="shared" si="339"/>
        <v>262.75538197764018</v>
      </c>
      <c r="R173" s="284" t="str">
        <f t="shared" si="331"/>
        <v/>
      </c>
      <c r="S173" s="284">
        <f t="shared" si="332"/>
        <v>-0.15006778642581164</v>
      </c>
      <c r="T173" s="284" t="str">
        <f t="shared" si="333"/>
        <v/>
      </c>
      <c r="U173" s="284">
        <f t="shared" si="334"/>
        <v>-0.22998856679158042</v>
      </c>
      <c r="V173" s="284">
        <f t="shared" si="335"/>
        <v>-0.39254983093011286</v>
      </c>
      <c r="W173" s="284">
        <f t="shared" si="336"/>
        <v>-0.52575224240830098</v>
      </c>
      <c r="X173" s="284">
        <f t="shared" si="337"/>
        <v>-0.18151608568972621</v>
      </c>
    </row>
    <row r="174" spans="1:34">
      <c r="A174" s="216" t="s">
        <v>27</v>
      </c>
      <c r="J174" s="211" t="str">
        <f t="shared" ref="J174:P174" si="340">IFERROR((J166*J145*11.63/1000000+R127)/(J145*11.63+J108)*1000000,"")</f>
        <v/>
      </c>
      <c r="K174" s="211">
        <f t="shared" si="340"/>
        <v>334.90452998079843</v>
      </c>
      <c r="L174" s="211">
        <f t="shared" si="340"/>
        <v>1228.4033473274615</v>
      </c>
      <c r="M174" s="211">
        <f t="shared" si="340"/>
        <v>311.71401768286756</v>
      </c>
      <c r="N174" s="211">
        <f t="shared" si="340"/>
        <v>241.4025311324479</v>
      </c>
      <c r="O174" s="211">
        <f t="shared" si="340"/>
        <v>2.4548901085941606</v>
      </c>
      <c r="P174" s="211">
        <f t="shared" si="340"/>
        <v>328.77442852239966</v>
      </c>
      <c r="R174" s="284" t="str">
        <f t="shared" si="331"/>
        <v/>
      </c>
      <c r="S174" s="284">
        <f t="shared" si="332"/>
        <v>-7.3049653616741761E-2</v>
      </c>
      <c r="T174" s="284">
        <f t="shared" si="333"/>
        <v>-0.18586982109232453</v>
      </c>
      <c r="U174" s="284">
        <f t="shared" si="334"/>
        <v>-0.32661887385259292</v>
      </c>
      <c r="V174" s="284">
        <f t="shared" si="335"/>
        <v>-5.0492508427136262E-2</v>
      </c>
      <c r="W174" s="284">
        <f t="shared" si="336"/>
        <v>-0.30196015581853419</v>
      </c>
      <c r="X174" s="284">
        <f t="shared" si="337"/>
        <v>-9.3650687173396752E-2</v>
      </c>
    </row>
    <row r="175" spans="1:34">
      <c r="A175" s="216" t="s">
        <v>28</v>
      </c>
      <c r="J175" s="211"/>
      <c r="K175" s="211">
        <f t="shared" ref="K175:P175" si="341">IFERROR((K166*K146*11.63/1000000+S128)/(K146*11.63+K109)*1000000,"")</f>
        <v>246.68247395453938</v>
      </c>
      <c r="L175" s="211" t="str">
        <f t="shared" si="341"/>
        <v/>
      </c>
      <c r="M175" s="211">
        <f t="shared" si="341"/>
        <v>256.95999975527633</v>
      </c>
      <c r="N175" s="211">
        <f t="shared" si="341"/>
        <v>223.53358582376708</v>
      </c>
      <c r="O175" s="211">
        <f t="shared" si="341"/>
        <v>0</v>
      </c>
      <c r="P175" s="211">
        <f t="shared" si="341"/>
        <v>236.21869882494542</v>
      </c>
      <c r="R175" s="284" t="str">
        <f t="shared" si="331"/>
        <v/>
      </c>
      <c r="S175" s="284">
        <f t="shared" si="332"/>
        <v>-0.11597571251903449</v>
      </c>
      <c r="T175" s="284" t="str">
        <f t="shared" si="333"/>
        <v/>
      </c>
      <c r="U175" s="284">
        <f t="shared" si="334"/>
        <v>-0.28270938905869281</v>
      </c>
      <c r="V175" s="284">
        <f t="shared" si="335"/>
        <v>-8.4650216621898866E-2</v>
      </c>
      <c r="W175" s="284" t="str">
        <f t="shared" si="336"/>
        <v/>
      </c>
      <c r="X175" s="284">
        <f t="shared" si="337"/>
        <v>-0.13163728512765882</v>
      </c>
    </row>
    <row r="176" spans="1:34">
      <c r="A176" s="216" t="s">
        <v>29</v>
      </c>
      <c r="J176" s="211" t="str">
        <f t="shared" ref="J176:P176" si="342">IFERROR((J166*J147*11.63/1000000+R129)/(J147*11.63+J110)*1000000,"")</f>
        <v/>
      </c>
      <c r="K176" s="211">
        <f t="shared" si="342"/>
        <v>392.5517260826432</v>
      </c>
      <c r="L176" s="211">
        <f t="shared" si="342"/>
        <v>1569.448708261561</v>
      </c>
      <c r="M176" s="211">
        <f t="shared" si="342"/>
        <v>277.60641484366784</v>
      </c>
      <c r="N176" s="211">
        <f t="shared" si="342"/>
        <v>375.86509172752869</v>
      </c>
      <c r="O176" s="211">
        <f t="shared" si="342"/>
        <v>1.9896829263810512</v>
      </c>
      <c r="P176" s="211">
        <f t="shared" si="342"/>
        <v>458.61677714091371</v>
      </c>
      <c r="R176" s="284" t="str">
        <f t="shared" si="331"/>
        <v/>
      </c>
      <c r="S176" s="284">
        <f t="shared" si="332"/>
        <v>-0.24794468486956489</v>
      </c>
      <c r="T176" s="284">
        <f t="shared" si="333"/>
        <v>-8.4979584458743429E-2</v>
      </c>
      <c r="U176" s="284">
        <f t="shared" si="334"/>
        <v>-0.38262554771422819</v>
      </c>
      <c r="V176" s="284">
        <f t="shared" si="335"/>
        <v>-0.28521852060010844</v>
      </c>
      <c r="W176" s="284">
        <f t="shared" si="336"/>
        <v>-0.61089606520619766</v>
      </c>
      <c r="X176" s="284">
        <f t="shared" si="337"/>
        <v>-0.31890336057868762</v>
      </c>
    </row>
    <row r="177" spans="1:43">
      <c r="A177" s="216" t="s">
        <v>388</v>
      </c>
      <c r="J177" s="211" t="str">
        <f t="shared" ref="J177:P177" si="343">IFERROR((J166*J148*11.63/1000000+R130)/(J148*11.63+J111)*1000000,"")</f>
        <v/>
      </c>
      <c r="K177" s="211">
        <f t="shared" si="343"/>
        <v>329.87403542930923</v>
      </c>
      <c r="L177" s="211" t="str">
        <f t="shared" si="343"/>
        <v/>
      </c>
      <c r="M177" s="211">
        <f t="shared" si="343"/>
        <v>0</v>
      </c>
      <c r="N177" s="211" t="str">
        <f t="shared" si="343"/>
        <v/>
      </c>
      <c r="O177" s="211">
        <f t="shared" si="343"/>
        <v>0</v>
      </c>
      <c r="P177" s="211">
        <f t="shared" si="343"/>
        <v>307.98096589669666</v>
      </c>
      <c r="R177" s="284" t="str">
        <f t="shared" si="331"/>
        <v/>
      </c>
      <c r="S177" s="284">
        <f t="shared" si="332"/>
        <v>-0.22002214103666873</v>
      </c>
      <c r="T177" s="284" t="str">
        <f t="shared" si="333"/>
        <v/>
      </c>
      <c r="U177" s="284" t="str">
        <f t="shared" si="334"/>
        <v/>
      </c>
      <c r="V177" s="284" t="str">
        <f t="shared" si="335"/>
        <v/>
      </c>
      <c r="W177" s="284" t="str">
        <f t="shared" si="336"/>
        <v/>
      </c>
      <c r="X177" s="284">
        <f t="shared" si="337"/>
        <v>-0.19896645555680204</v>
      </c>
    </row>
    <row r="178" spans="1:43">
      <c r="J178" s="211"/>
      <c r="K178" s="211"/>
      <c r="L178" s="211"/>
      <c r="M178" s="211"/>
      <c r="N178" s="211"/>
      <c r="O178" s="211"/>
      <c r="P178" s="211"/>
    </row>
    <row r="179" spans="1:43">
      <c r="J179" s="211"/>
      <c r="K179" s="211"/>
      <c r="L179" s="211"/>
      <c r="M179" s="211"/>
      <c r="N179" s="211"/>
      <c r="O179" s="211"/>
      <c r="P179" s="211"/>
    </row>
    <row r="180" spans="1:43">
      <c r="J180" s="211"/>
      <c r="K180" s="211"/>
      <c r="L180" s="211"/>
      <c r="M180" s="211"/>
      <c r="N180" s="211"/>
      <c r="O180" s="211"/>
      <c r="P180" s="211"/>
    </row>
    <row r="181" spans="1:43">
      <c r="J181" s="211"/>
      <c r="K181" s="211"/>
      <c r="L181" s="211"/>
      <c r="M181" s="211"/>
      <c r="N181" s="211"/>
      <c r="O181" s="211"/>
      <c r="P181" s="211"/>
    </row>
    <row r="182" spans="1:43">
      <c r="J182" s="211"/>
      <c r="K182" s="211"/>
      <c r="L182" s="211"/>
      <c r="M182" s="211"/>
      <c r="N182" s="211"/>
      <c r="O182" s="211"/>
      <c r="P182" s="211"/>
    </row>
    <row r="183" spans="1:43">
      <c r="J183" s="211"/>
      <c r="K183" s="211"/>
      <c r="L183" s="211"/>
      <c r="M183" s="211"/>
      <c r="N183" s="211"/>
      <c r="O183" s="211"/>
      <c r="P183" s="211"/>
    </row>
    <row r="186" spans="1:43" ht="15.6">
      <c r="A186" s="113"/>
      <c r="B186" s="113"/>
      <c r="J186" s="284">
        <f t="shared" ref="J186:O186" si="344">J197/J204</f>
        <v>1.426338190490318E-6</v>
      </c>
      <c r="K186" s="284">
        <f t="shared" si="344"/>
        <v>0.57419151789195866</v>
      </c>
      <c r="L186" s="284">
        <f t="shared" si="344"/>
        <v>0.98700484878369499</v>
      </c>
      <c r="M186" s="284">
        <f t="shared" si="344"/>
        <v>0.481979829872976</v>
      </c>
      <c r="N186" s="284">
        <f t="shared" si="344"/>
        <v>0.55446316766542225</v>
      </c>
      <c r="O186" s="284">
        <f t="shared" si="344"/>
        <v>0.68802706386663948</v>
      </c>
      <c r="P186" s="284">
        <f>SUM(K197:O197)/SUM(K204:O204)</f>
        <v>0.5801438559327261</v>
      </c>
    </row>
    <row r="187" spans="1:43">
      <c r="J187" s="196">
        <f>J241*((J197/11.63)/((J197/11.63)+J234))*41.868</f>
        <v>0</v>
      </c>
      <c r="K187" s="196">
        <f t="shared" ref="K187:P187" si="345">K241*((K197/11.63)/((K197/11.63)+K234))*41.868</f>
        <v>446351.46396492241</v>
      </c>
      <c r="L187" s="196">
        <f t="shared" si="345"/>
        <v>16241.684416398219</v>
      </c>
      <c r="M187" s="196">
        <f t="shared" si="345"/>
        <v>8611.4129635282661</v>
      </c>
      <c r="N187" s="196">
        <f t="shared" si="345"/>
        <v>61600.221915808717</v>
      </c>
      <c r="O187" s="196">
        <f t="shared" si="345"/>
        <v>34618.912671043261</v>
      </c>
      <c r="P187" s="196">
        <f t="shared" si="345"/>
        <v>566714.64313397079</v>
      </c>
    </row>
    <row r="188" spans="1:43">
      <c r="A188" s="450" t="s">
        <v>466</v>
      </c>
      <c r="J188" s="68" t="s">
        <v>199</v>
      </c>
      <c r="R188" s="68" t="s">
        <v>136</v>
      </c>
      <c r="S188" s="68"/>
      <c r="AJ188" s="68" t="s">
        <v>288</v>
      </c>
    </row>
    <row r="189" spans="1:43" ht="15.6">
      <c r="A189" s="68"/>
      <c r="J189" s="210" t="s">
        <v>5</v>
      </c>
      <c r="K189" s="210" t="s">
        <v>210</v>
      </c>
      <c r="L189" s="210" t="s">
        <v>211</v>
      </c>
      <c r="M189" s="210" t="s">
        <v>214</v>
      </c>
      <c r="N189" s="210" t="s">
        <v>216</v>
      </c>
      <c r="O189" s="210" t="s">
        <v>215</v>
      </c>
      <c r="P189" s="210" t="s">
        <v>213</v>
      </c>
      <c r="Q189" s="2"/>
      <c r="R189" s="210" t="s">
        <v>5</v>
      </c>
      <c r="S189" s="210" t="s">
        <v>210</v>
      </c>
      <c r="T189" s="210" t="s">
        <v>211</v>
      </c>
      <c r="U189" s="210" t="s">
        <v>214</v>
      </c>
      <c r="V189" s="210" t="s">
        <v>216</v>
      </c>
      <c r="W189" s="210" t="s">
        <v>215</v>
      </c>
      <c r="X189" s="210" t="s">
        <v>213</v>
      </c>
      <c r="AA189" s="68"/>
      <c r="AB189" s="619"/>
      <c r="AJ189" s="68"/>
      <c r="AK189" s="210" t="s">
        <v>5</v>
      </c>
      <c r="AL189" s="210" t="s">
        <v>210</v>
      </c>
      <c r="AM189" s="210" t="s">
        <v>211</v>
      </c>
      <c r="AN189" s="210" t="s">
        <v>214</v>
      </c>
      <c r="AO189" s="210" t="s">
        <v>216</v>
      </c>
      <c r="AP189" s="210" t="s">
        <v>215</v>
      </c>
      <c r="AQ189" s="210" t="s">
        <v>213</v>
      </c>
    </row>
    <row r="190" spans="1:43" ht="15.6">
      <c r="A190" s="11" t="s">
        <v>17</v>
      </c>
      <c r="J190" s="209">
        <f t="shared" ref="J190:P190" si="346">SUM(J191:J196)</f>
        <v>14021.9</v>
      </c>
      <c r="K190" s="209">
        <f t="shared" si="346"/>
        <v>61315.54</v>
      </c>
      <c r="L190" s="209">
        <f t="shared" si="346"/>
        <v>25.3</v>
      </c>
      <c r="M190" s="209">
        <f t="shared" si="346"/>
        <v>1995.02</v>
      </c>
      <c r="N190" s="209">
        <f t="shared" si="346"/>
        <v>7631.89</v>
      </c>
      <c r="O190" s="209">
        <f t="shared" si="346"/>
        <v>2553.3399999999997</v>
      </c>
      <c r="P190" s="209">
        <f t="shared" si="346"/>
        <v>87542.99</v>
      </c>
      <c r="Q190" s="2"/>
      <c r="R190" s="236">
        <v>10.042999999999999</v>
      </c>
      <c r="S190" s="236">
        <v>6.7619999999999996</v>
      </c>
      <c r="T190" s="236">
        <v>9.0269999999999992</v>
      </c>
      <c r="U190" s="236">
        <v>10.353999999999999</v>
      </c>
      <c r="V190" s="236">
        <v>11.316000000000001</v>
      </c>
      <c r="W190" s="236">
        <v>9.7840000000000007</v>
      </c>
      <c r="X190" s="502">
        <v>7.8550000000000004</v>
      </c>
      <c r="AA190" s="68"/>
      <c r="AC190" s="451"/>
      <c r="AJ190" s="11" t="s">
        <v>17</v>
      </c>
      <c r="AK190" s="286">
        <f t="shared" ref="AK190:AK204" si="347">IFERROR(J190*3.6/J209,"")</f>
        <v>0.35845862790002986</v>
      </c>
      <c r="AL190" s="286">
        <f t="shared" ref="AL190:AL204" si="348">IFERROR(K190*3.6/K209,"")</f>
        <v>0.53243309284392637</v>
      </c>
      <c r="AM190" s="286">
        <f t="shared" ref="AM190:AM204" si="349">IFERROR(L190*3.6/L209,"")</f>
        <v>0.39880358923230314</v>
      </c>
      <c r="AN190" s="286">
        <f t="shared" ref="AN190:AN204" si="350">IFERROR(M190*3.6/M209,"")</f>
        <v>0.34772091347543038</v>
      </c>
      <c r="AO190" s="286">
        <f t="shared" ref="AO190:AO204" si="351">IFERROR(N190*3.6/N209,"")</f>
        <v>0.31813558860621399</v>
      </c>
      <c r="AP190" s="286">
        <f t="shared" ref="AP190:AP204" si="352">IFERROR(O190*3.6/O209,"")</f>
        <v>0.3679290869610975</v>
      </c>
      <c r="AQ190" s="286">
        <f t="shared" ref="AQ190:AQ204" si="353">IFERROR(P190*3.6/P209,"")</f>
        <v>0.45832040890771869</v>
      </c>
    </row>
    <row r="191" spans="1:43" ht="15.6">
      <c r="A191" s="10" t="s">
        <v>18</v>
      </c>
      <c r="J191" s="211"/>
      <c r="K191" s="211">
        <v>199.8</v>
      </c>
      <c r="L191" s="211">
        <v>25.3</v>
      </c>
      <c r="M191" s="211">
        <v>204.7</v>
      </c>
      <c r="N191" s="211">
        <v>1174.1199999999999</v>
      </c>
      <c r="O191" s="211">
        <v>2527.04</v>
      </c>
      <c r="P191" s="209">
        <f t="shared" ref="P191:P196" si="354">SUM(J191:O191)</f>
        <v>4130.96</v>
      </c>
      <c r="Q191" s="2"/>
      <c r="R191" s="208">
        <v>0</v>
      </c>
      <c r="S191" s="208">
        <v>9.5069999999999997</v>
      </c>
      <c r="T191" s="208">
        <v>9.0269999999999992</v>
      </c>
      <c r="U191" s="208">
        <v>9.5190000000000001</v>
      </c>
      <c r="V191" s="208">
        <v>8.7859999999999996</v>
      </c>
      <c r="W191" s="208">
        <v>9.7850000000000001</v>
      </c>
      <c r="X191" s="236">
        <v>9.4700000000000006</v>
      </c>
      <c r="Z191" s="199"/>
      <c r="AA191" s="237"/>
      <c r="AB191" s="237"/>
      <c r="AC191" s="216"/>
      <c r="AF191" s="215"/>
      <c r="AG191" s="237"/>
      <c r="AH191" s="237"/>
      <c r="AJ191" s="10" t="s">
        <v>18</v>
      </c>
      <c r="AK191" s="56" t="str">
        <f t="shared" si="347"/>
        <v/>
      </c>
      <c r="AL191" s="56">
        <f t="shared" si="348"/>
        <v>0.37866834963710949</v>
      </c>
      <c r="AM191" s="56">
        <f t="shared" si="349"/>
        <v>0.39880358923230314</v>
      </c>
      <c r="AN191" s="56">
        <f t="shared" si="350"/>
        <v>0.3781909864481563</v>
      </c>
      <c r="AO191" s="56">
        <f t="shared" si="351"/>
        <v>0.40974277259276121</v>
      </c>
      <c r="AP191" s="56">
        <f t="shared" si="352"/>
        <v>0.36791006642820645</v>
      </c>
      <c r="AQ191" s="286">
        <f t="shared" si="353"/>
        <v>0.38015624569921652</v>
      </c>
    </row>
    <row r="192" spans="1:43" ht="15.6">
      <c r="A192" s="10" t="s">
        <v>19</v>
      </c>
      <c r="J192" s="211"/>
      <c r="K192" s="211">
        <v>641.20000000000005</v>
      </c>
      <c r="L192" s="211"/>
      <c r="M192" s="211">
        <v>8.6</v>
      </c>
      <c r="N192" s="211">
        <v>9.92</v>
      </c>
      <c r="O192" s="211">
        <v>12.7</v>
      </c>
      <c r="P192" s="209">
        <f t="shared" si="354"/>
        <v>672.42000000000007</v>
      </c>
      <c r="Q192" s="2"/>
      <c r="R192" s="208">
        <v>0</v>
      </c>
      <c r="S192" s="208">
        <v>9.7889999999999997</v>
      </c>
      <c r="T192" s="208">
        <v>0</v>
      </c>
      <c r="U192" s="208">
        <v>14.923999999999999</v>
      </c>
      <c r="V192" s="208">
        <v>13.228999999999999</v>
      </c>
      <c r="W192" s="208">
        <v>10.491</v>
      </c>
      <c r="X192" s="236">
        <v>9.9190000000000005</v>
      </c>
      <c r="Z192" s="199"/>
      <c r="AA192" s="237"/>
      <c r="AB192" s="237"/>
      <c r="AC192" s="216"/>
      <c r="AF192" s="215"/>
      <c r="AG192" s="237"/>
      <c r="AH192" s="237"/>
      <c r="AJ192" s="10" t="s">
        <v>19</v>
      </c>
      <c r="AK192" s="56" t="str">
        <f t="shared" si="347"/>
        <v/>
      </c>
      <c r="AL192" s="56">
        <f t="shared" si="348"/>
        <v>0.36775973030953113</v>
      </c>
      <c r="AM192" s="56" t="str">
        <f t="shared" si="349"/>
        <v/>
      </c>
      <c r="AN192" s="56">
        <f t="shared" si="350"/>
        <v>0.24122219244170467</v>
      </c>
      <c r="AO192" s="56">
        <f t="shared" si="351"/>
        <v>0.27212941265401774</v>
      </c>
      <c r="AP192" s="56">
        <f t="shared" si="352"/>
        <v>0.34315127251930228</v>
      </c>
      <c r="AQ192" s="286">
        <f t="shared" si="353"/>
        <v>0.36295142521323481</v>
      </c>
    </row>
    <row r="193" spans="1:43" ht="15.6">
      <c r="A193" s="10" t="s">
        <v>20</v>
      </c>
      <c r="J193" s="211">
        <v>14021.9</v>
      </c>
      <c r="K193" s="211">
        <v>482.4</v>
      </c>
      <c r="L193" s="211"/>
      <c r="M193" s="211">
        <v>1774.02</v>
      </c>
      <c r="N193" s="211">
        <v>4474.63</v>
      </c>
      <c r="O193" s="211">
        <v>8.5</v>
      </c>
      <c r="P193" s="209">
        <f t="shared" si="354"/>
        <v>20761.45</v>
      </c>
      <c r="Q193" s="2"/>
      <c r="R193" s="208">
        <v>10.042999999999999</v>
      </c>
      <c r="S193" s="208">
        <v>9.9849999999999994</v>
      </c>
      <c r="T193" s="208">
        <v>0</v>
      </c>
      <c r="U193" s="208">
        <v>10.436999999999999</v>
      </c>
      <c r="V193" s="208">
        <v>13.552</v>
      </c>
      <c r="W193" s="208">
        <v>9.048</v>
      </c>
      <c r="X193" s="236">
        <v>10.831</v>
      </c>
      <c r="Z193" s="199"/>
      <c r="AA193" s="237"/>
      <c r="AB193" s="237"/>
      <c r="AC193" s="216"/>
      <c r="AF193" s="215"/>
      <c r="AG193" s="237"/>
      <c r="AH193" s="237"/>
      <c r="AJ193" s="10" t="s">
        <v>20</v>
      </c>
      <c r="AK193" s="56">
        <f t="shared" si="347"/>
        <v>0.35845862790002986</v>
      </c>
      <c r="AL193" s="56">
        <f t="shared" si="348"/>
        <v>0.3605408112168253</v>
      </c>
      <c r="AM193" s="56" t="str">
        <f t="shared" si="349"/>
        <v/>
      </c>
      <c r="AN193" s="56">
        <f t="shared" si="350"/>
        <v>0.34492670307559642</v>
      </c>
      <c r="AO193" s="56">
        <f t="shared" si="351"/>
        <v>0.26564344746162932</v>
      </c>
      <c r="AP193" s="56">
        <f t="shared" si="352"/>
        <v>0.39787798408488068</v>
      </c>
      <c r="AQ193" s="286">
        <f t="shared" si="353"/>
        <v>0.33237339705728908</v>
      </c>
    </row>
    <row r="194" spans="1:43" ht="15.6">
      <c r="A194" s="10" t="s">
        <v>21</v>
      </c>
      <c r="J194" s="211"/>
      <c r="K194" s="211">
        <v>59992.04</v>
      </c>
      <c r="L194" s="211"/>
      <c r="M194" s="211">
        <v>7.7</v>
      </c>
      <c r="N194" s="211">
        <v>1973.22</v>
      </c>
      <c r="O194" s="211">
        <v>5.0999999999999996</v>
      </c>
      <c r="P194" s="209">
        <f t="shared" si="354"/>
        <v>61978.06</v>
      </c>
      <c r="Q194" s="2"/>
      <c r="R194" s="208">
        <v>0</v>
      </c>
      <c r="S194" s="208">
        <v>6.694</v>
      </c>
      <c r="T194" s="208">
        <v>0</v>
      </c>
      <c r="U194" s="208">
        <v>8.1</v>
      </c>
      <c r="V194" s="208">
        <v>7.7409999999999997</v>
      </c>
      <c r="W194" s="208">
        <v>9.0020000000000007</v>
      </c>
      <c r="X194" s="236">
        <v>6.7279999999999998</v>
      </c>
      <c r="Z194" s="199"/>
      <c r="AA194" s="237"/>
      <c r="AB194" s="237"/>
      <c r="AC194" s="216"/>
      <c r="AF194" s="215"/>
      <c r="AG194" s="237"/>
      <c r="AH194" s="237"/>
      <c r="AJ194" s="10" t="s">
        <v>21</v>
      </c>
      <c r="AK194" s="56" t="str">
        <f t="shared" si="347"/>
        <v/>
      </c>
      <c r="AL194" s="56">
        <f t="shared" si="348"/>
        <v>0.5377950403346281</v>
      </c>
      <c r="AM194" s="56" t="str">
        <f t="shared" si="349"/>
        <v/>
      </c>
      <c r="AN194" s="56">
        <f t="shared" si="350"/>
        <v>0.44444444444444448</v>
      </c>
      <c r="AO194" s="56">
        <f t="shared" si="351"/>
        <v>0.46505619429014344</v>
      </c>
      <c r="AP194" s="56">
        <f t="shared" si="352"/>
        <v>0.39991113085980889</v>
      </c>
      <c r="AQ194" s="286">
        <f t="shared" si="353"/>
        <v>0.53510128024053616</v>
      </c>
    </row>
    <row r="195" spans="1:43" ht="15.6">
      <c r="A195" s="10" t="s">
        <v>23</v>
      </c>
      <c r="J195" s="211"/>
      <c r="K195" s="211"/>
      <c r="L195" s="211"/>
      <c r="M195" s="211"/>
      <c r="N195" s="211"/>
      <c r="O195" s="211"/>
      <c r="P195" s="209">
        <f t="shared" si="354"/>
        <v>0</v>
      </c>
      <c r="Q195" s="2"/>
      <c r="R195" s="208">
        <v>0</v>
      </c>
      <c r="S195" s="208">
        <v>0</v>
      </c>
      <c r="T195" s="208">
        <v>0</v>
      </c>
      <c r="U195" s="208">
        <v>0</v>
      </c>
      <c r="V195" s="208">
        <v>0</v>
      </c>
      <c r="W195" s="208">
        <v>0</v>
      </c>
      <c r="X195" s="236">
        <v>0</v>
      </c>
      <c r="AC195" s="451"/>
      <c r="AF195" s="240"/>
      <c r="AG195" s="240"/>
      <c r="AH195" s="240"/>
      <c r="AJ195" s="10" t="s">
        <v>23</v>
      </c>
      <c r="AK195" s="56" t="str">
        <f t="shared" si="347"/>
        <v/>
      </c>
      <c r="AL195" s="56" t="str">
        <f t="shared" si="348"/>
        <v/>
      </c>
      <c r="AM195" s="56" t="str">
        <f t="shared" si="349"/>
        <v/>
      </c>
      <c r="AN195" s="56" t="str">
        <f t="shared" si="350"/>
        <v/>
      </c>
      <c r="AO195" s="56" t="str">
        <f t="shared" si="351"/>
        <v/>
      </c>
      <c r="AP195" s="56" t="str">
        <f t="shared" si="352"/>
        <v/>
      </c>
      <c r="AQ195" s="286" t="str">
        <f t="shared" si="353"/>
        <v/>
      </c>
    </row>
    <row r="196" spans="1:43" ht="15.6">
      <c r="A196" s="10" t="s">
        <v>387</v>
      </c>
      <c r="J196" s="211"/>
      <c r="K196" s="211">
        <v>0.1</v>
      </c>
      <c r="L196" s="211"/>
      <c r="M196" s="211"/>
      <c r="N196" s="211"/>
      <c r="O196" s="211"/>
      <c r="P196" s="209">
        <f t="shared" si="354"/>
        <v>0.1</v>
      </c>
      <c r="Q196" s="2"/>
      <c r="R196" s="208">
        <v>0</v>
      </c>
      <c r="S196" s="208">
        <v>6.7990000000000004</v>
      </c>
      <c r="T196" s="208">
        <v>0</v>
      </c>
      <c r="U196" s="208">
        <v>0</v>
      </c>
      <c r="V196" s="208">
        <v>0</v>
      </c>
      <c r="W196" s="208">
        <v>0</v>
      </c>
      <c r="X196" s="236">
        <v>6.7990000000000004</v>
      </c>
      <c r="Z196" s="199"/>
      <c r="AA196" s="237"/>
      <c r="AB196" s="237"/>
      <c r="AC196" s="451"/>
      <c r="AF196" s="215"/>
      <c r="AG196" s="237"/>
      <c r="AH196" s="237"/>
      <c r="AJ196" s="10" t="s">
        <v>387</v>
      </c>
      <c r="AK196" s="56" t="str">
        <f t="shared" si="347"/>
        <v/>
      </c>
      <c r="AL196" s="56" t="str">
        <f t="shared" si="348"/>
        <v/>
      </c>
      <c r="AM196" s="56" t="str">
        <f t="shared" si="349"/>
        <v/>
      </c>
      <c r="AN196" s="56" t="str">
        <f t="shared" si="350"/>
        <v/>
      </c>
      <c r="AO196" s="56" t="str">
        <f t="shared" si="351"/>
        <v/>
      </c>
      <c r="AP196" s="56" t="str">
        <f t="shared" si="352"/>
        <v/>
      </c>
      <c r="AQ196" s="286" t="str">
        <f t="shared" si="353"/>
        <v/>
      </c>
    </row>
    <row r="197" spans="1:43" ht="15.6">
      <c r="A197" s="11" t="s">
        <v>24</v>
      </c>
      <c r="J197" s="209">
        <f t="shared" ref="J197:P197" si="355">SUM(J198:J203)</f>
        <v>0.02</v>
      </c>
      <c r="K197" s="209">
        <f t="shared" si="355"/>
        <v>82682.39</v>
      </c>
      <c r="L197" s="209">
        <f t="shared" si="355"/>
        <v>1921.5800000000002</v>
      </c>
      <c r="M197" s="209">
        <f t="shared" si="355"/>
        <v>1856.22</v>
      </c>
      <c r="N197" s="209">
        <f t="shared" si="355"/>
        <v>9497.76</v>
      </c>
      <c r="O197" s="209">
        <f t="shared" si="355"/>
        <v>5631.1519999999991</v>
      </c>
      <c r="P197" s="209">
        <f t="shared" si="355"/>
        <v>101589.122</v>
      </c>
      <c r="Q197" s="2"/>
      <c r="R197" s="236">
        <v>0</v>
      </c>
      <c r="S197" s="236">
        <v>6.0780000000000003</v>
      </c>
      <c r="T197" s="236">
        <v>9.5050000000000008</v>
      </c>
      <c r="U197" s="236">
        <v>6.2839999999999998</v>
      </c>
      <c r="V197" s="236">
        <v>8.6039999999999992</v>
      </c>
      <c r="W197" s="236">
        <v>7.4249999999999998</v>
      </c>
      <c r="X197" s="502">
        <v>6.4580000000000002</v>
      </c>
      <c r="Z197" s="199"/>
      <c r="AA197" s="470"/>
      <c r="AB197" s="388"/>
      <c r="AC197" s="451"/>
      <c r="AF197" s="240"/>
      <c r="AG197" s="240"/>
      <c r="AH197" s="240"/>
      <c r="AJ197" s="11" t="s">
        <v>24</v>
      </c>
      <c r="AK197" s="286" t="str">
        <f t="shared" si="347"/>
        <v/>
      </c>
      <c r="AL197" s="286">
        <f t="shared" si="348"/>
        <v>0.59226704197894098</v>
      </c>
      <c r="AM197" s="286">
        <f t="shared" si="349"/>
        <v>0.3787259117033932</v>
      </c>
      <c r="AN197" s="286">
        <f t="shared" si="350"/>
        <v>0.57287262887197943</v>
      </c>
      <c r="AO197" s="286">
        <f t="shared" si="351"/>
        <v>0.41843692954635786</v>
      </c>
      <c r="AP197" s="286">
        <f t="shared" si="352"/>
        <v>0.48484782966914297</v>
      </c>
      <c r="AQ197" s="286">
        <f t="shared" si="353"/>
        <v>0.5574784668330206</v>
      </c>
    </row>
    <row r="198" spans="1:43" ht="15.6">
      <c r="A198" s="10" t="s">
        <v>25</v>
      </c>
      <c r="J198" s="211"/>
      <c r="K198" s="211">
        <v>12315.65</v>
      </c>
      <c r="L198" s="211">
        <v>150.9</v>
      </c>
      <c r="M198" s="211">
        <v>14.9</v>
      </c>
      <c r="N198" s="211">
        <v>1464.02</v>
      </c>
      <c r="O198" s="211">
        <v>5593.15</v>
      </c>
      <c r="P198" s="209">
        <f t="shared" ref="P198:P203" si="356">SUM(J198:O198)</f>
        <v>19538.62</v>
      </c>
      <c r="Q198" s="2"/>
      <c r="R198" s="208">
        <v>0</v>
      </c>
      <c r="S198" s="208">
        <v>5.7450000000000001</v>
      </c>
      <c r="T198" s="208">
        <v>7.2910000000000004</v>
      </c>
      <c r="U198" s="208">
        <v>6.5220000000000002</v>
      </c>
      <c r="V198" s="208">
        <v>7.3949999999999996</v>
      </c>
      <c r="W198" s="208">
        <v>7.4240000000000004</v>
      </c>
      <c r="X198" s="236">
        <v>6.3620000000000001</v>
      </c>
      <c r="Z198" s="199"/>
      <c r="AA198" s="237"/>
      <c r="AB198" s="237"/>
      <c r="AC198" s="216"/>
      <c r="AF198" s="215"/>
      <c r="AG198" s="237"/>
      <c r="AH198" s="237"/>
      <c r="AJ198" s="10" t="s">
        <v>25</v>
      </c>
      <c r="AK198" s="56" t="str">
        <f t="shared" si="347"/>
        <v/>
      </c>
      <c r="AL198" s="56">
        <f t="shared" si="348"/>
        <v>0.62663185378590081</v>
      </c>
      <c r="AM198" s="56">
        <f t="shared" si="349"/>
        <v>0.49375942943354822</v>
      </c>
      <c r="AN198" s="56">
        <f t="shared" si="350"/>
        <v>0.55197792088316466</v>
      </c>
      <c r="AO198" s="56">
        <f t="shared" si="351"/>
        <v>0.48681541582150106</v>
      </c>
      <c r="AP198" s="56">
        <f t="shared" si="352"/>
        <v>0.48491379310344829</v>
      </c>
      <c r="AQ198" s="286">
        <f t="shared" si="353"/>
        <v>0.56587767407715739</v>
      </c>
    </row>
    <row r="199" spans="1:43" ht="15.6">
      <c r="A199" s="10" t="s">
        <v>26</v>
      </c>
      <c r="J199" s="211"/>
      <c r="K199" s="211">
        <v>7758.24</v>
      </c>
      <c r="L199" s="211"/>
      <c r="M199" s="211">
        <v>250.11</v>
      </c>
      <c r="N199" s="211">
        <v>20.6</v>
      </c>
      <c r="O199" s="211">
        <v>4.7</v>
      </c>
      <c r="P199" s="209">
        <f t="shared" si="356"/>
        <v>8033.65</v>
      </c>
      <c r="Q199" s="2"/>
      <c r="R199" s="208">
        <v>0</v>
      </c>
      <c r="S199" s="208">
        <v>5.476</v>
      </c>
      <c r="T199" s="208">
        <v>4.8730000000000002</v>
      </c>
      <c r="U199" s="208">
        <v>5.3010000000000002</v>
      </c>
      <c r="V199" s="208">
        <v>9.31</v>
      </c>
      <c r="W199" s="208">
        <v>5.899</v>
      </c>
      <c r="X199" s="236">
        <v>5.48</v>
      </c>
      <c r="Z199" s="199"/>
      <c r="AA199" s="237"/>
      <c r="AB199" s="237"/>
      <c r="AC199" s="216"/>
      <c r="AF199" s="215"/>
      <c r="AG199" s="237"/>
      <c r="AH199" s="237"/>
      <c r="AJ199" s="10" t="s">
        <v>26</v>
      </c>
      <c r="AK199" s="56" t="str">
        <f t="shared" si="347"/>
        <v/>
      </c>
      <c r="AL199" s="56">
        <f t="shared" si="348"/>
        <v>0.6574141709276845</v>
      </c>
      <c r="AM199" s="56" t="str">
        <f t="shared" si="349"/>
        <v/>
      </c>
      <c r="AN199" s="56">
        <f t="shared" si="350"/>
        <v>0.67911714770797971</v>
      </c>
      <c r="AO199" s="56">
        <f t="shared" si="351"/>
        <v>0.38668098818474755</v>
      </c>
      <c r="AP199" s="56">
        <f t="shared" si="352"/>
        <v>0.61027292761484997</v>
      </c>
      <c r="AQ199" s="286">
        <f t="shared" si="353"/>
        <v>0.65685874030454561</v>
      </c>
    </row>
    <row r="200" spans="1:43" ht="15.6">
      <c r="A200" s="10" t="s">
        <v>27</v>
      </c>
      <c r="J200" s="211"/>
      <c r="K200" s="211">
        <v>61201.85</v>
      </c>
      <c r="L200" s="211">
        <v>943.24</v>
      </c>
      <c r="M200" s="211">
        <v>1247.3</v>
      </c>
      <c r="N200" s="211">
        <v>3526.82</v>
      </c>
      <c r="O200" s="211">
        <v>32.4</v>
      </c>
      <c r="P200" s="209">
        <f t="shared" si="356"/>
        <v>66951.61</v>
      </c>
      <c r="Q200" s="2"/>
      <c r="R200" s="208">
        <v>0</v>
      </c>
      <c r="S200" s="90">
        <v>6.19</v>
      </c>
      <c r="T200" s="208">
        <v>8.798</v>
      </c>
      <c r="U200" s="208">
        <v>6.649</v>
      </c>
      <c r="V200" s="208">
        <v>5.641</v>
      </c>
      <c r="W200" s="208">
        <v>7.7460000000000004</v>
      </c>
      <c r="X200" s="236">
        <v>6.2069999999999999</v>
      </c>
      <c r="Z200" s="199"/>
      <c r="AA200" s="237"/>
      <c r="AB200" s="237"/>
      <c r="AC200" s="216"/>
      <c r="AF200" s="215"/>
      <c r="AG200" s="237"/>
      <c r="AH200" s="237"/>
      <c r="AJ200" s="10" t="s">
        <v>27</v>
      </c>
      <c r="AK200" s="56" t="str">
        <f t="shared" si="347"/>
        <v/>
      </c>
      <c r="AL200" s="56">
        <f t="shared" si="348"/>
        <v>0.5815831987075929</v>
      </c>
      <c r="AM200" s="56">
        <f t="shared" si="349"/>
        <v>0.409183905433053</v>
      </c>
      <c r="AN200" s="56">
        <f t="shared" si="350"/>
        <v>0.54143480222589868</v>
      </c>
      <c r="AO200" s="56">
        <f t="shared" si="351"/>
        <v>0.63818471902145013</v>
      </c>
      <c r="AP200" s="56">
        <f t="shared" si="352"/>
        <v>0.46475600309837334</v>
      </c>
      <c r="AQ200" s="286">
        <f t="shared" si="353"/>
        <v>0.57997847978531702</v>
      </c>
    </row>
    <row r="201" spans="1:43" ht="15.6">
      <c r="A201" s="10" t="s">
        <v>28</v>
      </c>
      <c r="J201" s="211">
        <v>0.01</v>
      </c>
      <c r="K201" s="211">
        <v>551.54999999999995</v>
      </c>
      <c r="L201" s="211"/>
      <c r="M201" s="211">
        <v>175.5</v>
      </c>
      <c r="N201" s="211">
        <v>630</v>
      </c>
      <c r="O201" s="211">
        <v>1E-3</v>
      </c>
      <c r="P201" s="209">
        <f t="shared" si="356"/>
        <v>1357.0609999999999</v>
      </c>
      <c r="Q201" s="2"/>
      <c r="R201" s="208">
        <v>0</v>
      </c>
      <c r="S201" s="208">
        <v>5.0730000000000004</v>
      </c>
      <c r="T201" s="208">
        <v>0</v>
      </c>
      <c r="U201" s="208">
        <v>4.7690000000000001</v>
      </c>
      <c r="V201" s="208">
        <v>5.7190000000000003</v>
      </c>
      <c r="W201" s="208">
        <v>0</v>
      </c>
      <c r="X201" s="236">
        <v>5.3330000000000002</v>
      </c>
      <c r="Z201" s="199"/>
      <c r="AA201" s="237"/>
      <c r="AB201" s="237"/>
      <c r="AC201" s="216"/>
      <c r="AF201" s="240"/>
      <c r="AG201" s="240"/>
      <c r="AH201" s="240"/>
      <c r="AJ201" s="10" t="s">
        <v>28</v>
      </c>
      <c r="AK201" s="56" t="str">
        <f t="shared" si="347"/>
        <v/>
      </c>
      <c r="AL201" s="56">
        <f t="shared" si="348"/>
        <v>0.70963926670609112</v>
      </c>
      <c r="AM201" s="56" t="str">
        <f t="shared" si="349"/>
        <v/>
      </c>
      <c r="AN201" s="56">
        <f t="shared" si="350"/>
        <v>0.75487523589851124</v>
      </c>
      <c r="AO201" s="56">
        <f t="shared" si="351"/>
        <v>0.62948067844028677</v>
      </c>
      <c r="AP201" s="56" t="str">
        <f t="shared" si="352"/>
        <v/>
      </c>
      <c r="AQ201" s="286">
        <f t="shared" si="353"/>
        <v>0.67497351612754219</v>
      </c>
    </row>
    <row r="202" spans="1:43" ht="15.6">
      <c r="A202" s="10" t="s">
        <v>29</v>
      </c>
      <c r="J202" s="211">
        <v>0.01</v>
      </c>
      <c r="K202" s="211">
        <v>854.8</v>
      </c>
      <c r="L202" s="211">
        <v>827.44</v>
      </c>
      <c r="M202" s="211">
        <v>168.4</v>
      </c>
      <c r="N202" s="211">
        <v>3856.32</v>
      </c>
      <c r="O202" s="211">
        <v>0.9</v>
      </c>
      <c r="P202" s="209">
        <f t="shared" si="356"/>
        <v>5707.87</v>
      </c>
      <c r="Q202" s="2"/>
      <c r="R202" s="208">
        <v>0</v>
      </c>
      <c r="S202" s="208">
        <v>9.0039999999999996</v>
      </c>
      <c r="T202" s="208">
        <v>10.715999999999999</v>
      </c>
      <c r="U202" s="208">
        <v>6.6</v>
      </c>
      <c r="V202" s="208">
        <v>12.239000000000001</v>
      </c>
      <c r="W202" s="208">
        <v>10.132</v>
      </c>
      <c r="X202" s="236">
        <v>11.367000000000001</v>
      </c>
      <c r="AA202" s="470"/>
      <c r="AB202" s="388"/>
      <c r="AC202" s="451"/>
      <c r="AJ202" s="10" t="s">
        <v>29</v>
      </c>
      <c r="AK202" s="56" t="str">
        <f t="shared" si="347"/>
        <v/>
      </c>
      <c r="AL202" s="56">
        <f t="shared" si="348"/>
        <v>0.39982230119946693</v>
      </c>
      <c r="AM202" s="56">
        <f t="shared" si="349"/>
        <v>0.33594624860022393</v>
      </c>
      <c r="AN202" s="56">
        <f t="shared" si="350"/>
        <v>0.54545454545454541</v>
      </c>
      <c r="AO202" s="56">
        <f t="shared" si="351"/>
        <v>0.29414167824168641</v>
      </c>
      <c r="AP202" s="56">
        <f t="shared" si="352"/>
        <v>0.3553099091985788</v>
      </c>
      <c r="AQ202" s="286">
        <f t="shared" si="353"/>
        <v>0.31670543864857015</v>
      </c>
    </row>
    <row r="203" spans="1:43" ht="15.6">
      <c r="A203" s="10" t="s">
        <v>389</v>
      </c>
      <c r="J203" s="211"/>
      <c r="K203" s="211">
        <v>0.3</v>
      </c>
      <c r="L203" s="211"/>
      <c r="M203" s="211">
        <v>0.01</v>
      </c>
      <c r="N203" s="211"/>
      <c r="O203" s="211">
        <v>1E-3</v>
      </c>
      <c r="P203" s="209">
        <f t="shared" si="356"/>
        <v>0.311</v>
      </c>
      <c r="Q203" s="2"/>
      <c r="R203" s="208">
        <v>0</v>
      </c>
      <c r="S203" s="208">
        <v>7.3330000000000002</v>
      </c>
      <c r="T203" s="208">
        <v>0</v>
      </c>
      <c r="U203" s="208">
        <v>0</v>
      </c>
      <c r="V203" s="208">
        <v>0</v>
      </c>
      <c r="W203" s="208">
        <v>0</v>
      </c>
      <c r="X203" s="236">
        <v>7.3330000000000002</v>
      </c>
      <c r="Z203" s="199"/>
      <c r="AA203" s="237"/>
      <c r="AB203" s="237"/>
      <c r="AC203" s="216"/>
      <c r="AF203" s="237"/>
      <c r="AG203" s="237"/>
      <c r="AH203" s="237"/>
      <c r="AJ203" s="10" t="s">
        <v>389</v>
      </c>
      <c r="AK203" s="56" t="str">
        <f t="shared" si="347"/>
        <v/>
      </c>
      <c r="AL203" s="56">
        <f t="shared" si="348"/>
        <v>0.49093140597299884</v>
      </c>
      <c r="AM203" s="56" t="str">
        <f t="shared" si="349"/>
        <v/>
      </c>
      <c r="AN203" s="56" t="str">
        <f t="shared" si="350"/>
        <v/>
      </c>
      <c r="AO203" s="56" t="str">
        <f t="shared" si="351"/>
        <v/>
      </c>
      <c r="AP203" s="56" t="str">
        <f t="shared" si="352"/>
        <v/>
      </c>
      <c r="AQ203" s="286">
        <f t="shared" si="353"/>
        <v>0.50893222419200868</v>
      </c>
    </row>
    <row r="204" spans="1:43" ht="15.6">
      <c r="A204" s="11" t="s">
        <v>10</v>
      </c>
      <c r="J204" s="209">
        <f t="shared" ref="J204:O204" si="357">J190+J197</f>
        <v>14021.92</v>
      </c>
      <c r="K204" s="209">
        <f t="shared" si="357"/>
        <v>143997.93</v>
      </c>
      <c r="L204" s="209">
        <f t="shared" si="357"/>
        <v>1946.88</v>
      </c>
      <c r="M204" s="209">
        <f t="shared" si="357"/>
        <v>3851.24</v>
      </c>
      <c r="N204" s="209">
        <f t="shared" si="357"/>
        <v>17129.650000000001</v>
      </c>
      <c r="O204" s="209">
        <f t="shared" si="357"/>
        <v>8184.4919999999984</v>
      </c>
      <c r="P204" s="209">
        <f>P190+P197</f>
        <v>189132.11200000002</v>
      </c>
      <c r="Q204" s="2"/>
      <c r="R204" s="236">
        <v>10.43</v>
      </c>
      <c r="S204" s="236">
        <v>6.3689999999999998</v>
      </c>
      <c r="T204" s="236">
        <v>9.4990000000000006</v>
      </c>
      <c r="U204" s="236">
        <v>8.3919999999999995</v>
      </c>
      <c r="V204" s="236">
        <v>9.8119999999999994</v>
      </c>
      <c r="W204" s="236">
        <v>8.1609999999999996</v>
      </c>
      <c r="X204" s="236">
        <v>7.1040000000000001</v>
      </c>
      <c r="Z204" s="199"/>
      <c r="AA204" s="237"/>
      <c r="AB204" s="237"/>
      <c r="AC204" s="216"/>
      <c r="AF204" s="237"/>
      <c r="AG204" s="237"/>
      <c r="AH204" s="237"/>
      <c r="AJ204" s="11" t="s">
        <v>10</v>
      </c>
      <c r="AK204" s="286">
        <f t="shared" si="347"/>
        <v>0.35845913918398986</v>
      </c>
      <c r="AL204" s="286">
        <f t="shared" si="348"/>
        <v>0.56522031612165824</v>
      </c>
      <c r="AM204" s="286">
        <f t="shared" si="349"/>
        <v>0.3789738507908858</v>
      </c>
      <c r="AN204" s="286">
        <f t="shared" si="350"/>
        <v>0.42898257623080316</v>
      </c>
      <c r="AO204" s="286">
        <f t="shared" si="351"/>
        <v>0.36689924370564569</v>
      </c>
      <c r="AP204" s="286">
        <f t="shared" si="352"/>
        <v>0.4411167240349626</v>
      </c>
      <c r="AQ204" s="286">
        <f t="shared" si="353"/>
        <v>0.5067333340700052</v>
      </c>
    </row>
    <row r="205" spans="1:43">
      <c r="J205" s="177">
        <f t="shared" ref="J205:P205" si="358">J197/11.63</f>
        <v>1.7196904557179706E-3</v>
      </c>
      <c r="K205" s="177">
        <f t="shared" si="358"/>
        <v>7109.4058469475485</v>
      </c>
      <c r="L205" s="177">
        <f t="shared" si="358"/>
        <v>165.22613929492692</v>
      </c>
      <c r="M205" s="177">
        <f t="shared" si="358"/>
        <v>159.60619088564059</v>
      </c>
      <c r="N205" s="177">
        <f t="shared" si="358"/>
        <v>816.6603611349957</v>
      </c>
      <c r="O205" s="177">
        <f t="shared" si="358"/>
        <v>484.19191745485801</v>
      </c>
      <c r="P205" s="177">
        <f t="shared" si="358"/>
        <v>8735.0921754084266</v>
      </c>
      <c r="Z205" s="199"/>
      <c r="AA205" s="237"/>
      <c r="AB205" s="237"/>
      <c r="AC205" s="216"/>
      <c r="AF205" s="237"/>
      <c r="AG205" s="237"/>
      <c r="AH205" s="237"/>
    </row>
    <row r="206" spans="1:43">
      <c r="J206" s="56"/>
      <c r="K206" s="56">
        <f>SUM(K197:M197)/SUM(K204:M204)</f>
        <v>0.57718604729563971</v>
      </c>
      <c r="L206" s="56"/>
      <c r="M206" s="56"/>
      <c r="N206" s="56">
        <f>N197/N204</f>
        <v>0.55446316766542225</v>
      </c>
      <c r="O206" s="56">
        <f>O197/O204</f>
        <v>0.68802706386663948</v>
      </c>
      <c r="Z206" s="199"/>
      <c r="AA206" s="237"/>
      <c r="AB206" s="237"/>
      <c r="AC206" s="216"/>
      <c r="AF206" s="237"/>
      <c r="AG206" s="237"/>
      <c r="AH206" s="237"/>
      <c r="AJ206" s="68"/>
    </row>
    <row r="207" spans="1:43">
      <c r="J207" s="68" t="s">
        <v>189</v>
      </c>
      <c r="K207" s="56">
        <f>(SUM(K216:M216)/41.868)/SUM(K241:M241)</f>
        <v>0.74460813314040386</v>
      </c>
      <c r="L207" s="56"/>
      <c r="M207" s="56"/>
      <c r="N207" s="56">
        <f>(N216/41.868)/N241</f>
        <v>0.69298169067875914</v>
      </c>
      <c r="O207" s="56">
        <f>(O216/41.868)/O241</f>
        <v>0.75432221408713684</v>
      </c>
      <c r="Z207" s="199"/>
      <c r="AA207" s="237"/>
      <c r="AB207" s="237"/>
      <c r="AC207" s="216"/>
      <c r="AF207" s="237"/>
      <c r="AG207" s="237"/>
      <c r="AH207" s="237"/>
      <c r="AJ207" s="68"/>
    </row>
    <row r="208" spans="1:43">
      <c r="A208" s="68" t="str">
        <f>$A$188</f>
        <v>Dati 2021 lorda</v>
      </c>
      <c r="J208" s="210" t="s">
        <v>5</v>
      </c>
      <c r="K208" s="210" t="s">
        <v>210</v>
      </c>
      <c r="L208" s="210" t="s">
        <v>211</v>
      </c>
      <c r="M208" s="210" t="s">
        <v>214</v>
      </c>
      <c r="N208" s="210" t="s">
        <v>216</v>
      </c>
      <c r="O208" s="210" t="s">
        <v>215</v>
      </c>
      <c r="P208" s="210" t="s">
        <v>213</v>
      </c>
      <c r="R208" s="68" t="s">
        <v>234</v>
      </c>
      <c r="Z208" s="199"/>
      <c r="AA208" s="237"/>
      <c r="AB208" s="237"/>
      <c r="AC208" s="216"/>
      <c r="AF208" s="237"/>
      <c r="AG208" s="237"/>
      <c r="AH208" s="237"/>
      <c r="AJ208" s="68"/>
    </row>
    <row r="209" spans="1:43">
      <c r="A209" s="11" t="s">
        <v>17</v>
      </c>
      <c r="J209" s="209">
        <f t="shared" ref="J209:O209" si="359">SUM(J210:J214)</f>
        <v>140821.9417</v>
      </c>
      <c r="K209" s="209">
        <f t="shared" si="359"/>
        <v>414579.68515999999</v>
      </c>
      <c r="L209" s="209">
        <f t="shared" si="359"/>
        <v>228.38309999999998</v>
      </c>
      <c r="M209" s="209">
        <f t="shared" si="359"/>
        <v>20654.702439999997</v>
      </c>
      <c r="N209" s="209">
        <f t="shared" si="359"/>
        <v>86361.931779999999</v>
      </c>
      <c r="O209" s="209">
        <f t="shared" si="359"/>
        <v>24983.140299999999</v>
      </c>
      <c r="P209" s="212">
        <f t="shared" ref="P209:P214" si="360">SUM(J209:O209)</f>
        <v>687629.78447999991</v>
      </c>
      <c r="Q209" s="202"/>
      <c r="R209" s="209">
        <f t="shared" ref="R209:W209" si="361">SUM(R210:R214)</f>
        <v>13.10731286870373</v>
      </c>
      <c r="S209" s="209">
        <f t="shared" si="361"/>
        <v>24.254665468019741</v>
      </c>
      <c r="T209" s="209">
        <f t="shared" si="361"/>
        <v>4.14566821821249E-2</v>
      </c>
      <c r="U209" s="209">
        <f t="shared" si="361"/>
        <v>1.4520444686934308</v>
      </c>
      <c r="V209" s="209">
        <f t="shared" si="361"/>
        <v>2.827287091009814</v>
      </c>
      <c r="W209" s="209">
        <f t="shared" si="361"/>
        <v>1.7908644994768564E-2</v>
      </c>
      <c r="X209" s="220">
        <f>SUM(R209:W209)</f>
        <v>41.700675223603604</v>
      </c>
      <c r="Z209" s="199"/>
      <c r="AA209" s="235"/>
      <c r="AB209" s="620"/>
      <c r="AC209" s="223"/>
      <c r="AJ209" s="68"/>
    </row>
    <row r="210" spans="1:43">
      <c r="A210" s="10" t="s">
        <v>18</v>
      </c>
      <c r="J210" s="197">
        <f t="shared" ref="J210:O214" si="362">IFERROR(J191*R191,"")</f>
        <v>0</v>
      </c>
      <c r="K210" s="197">
        <f t="shared" si="362"/>
        <v>1899.4986000000001</v>
      </c>
      <c r="L210" s="197">
        <f t="shared" si="362"/>
        <v>228.38309999999998</v>
      </c>
      <c r="M210" s="197">
        <f t="shared" si="362"/>
        <v>1948.5392999999999</v>
      </c>
      <c r="N210" s="197">
        <f t="shared" si="362"/>
        <v>10315.818319999998</v>
      </c>
      <c r="O210" s="197">
        <f t="shared" si="362"/>
        <v>24727.0864</v>
      </c>
      <c r="P210" s="212">
        <f t="shared" si="360"/>
        <v>39119.325720000001</v>
      </c>
      <c r="Q210" s="202"/>
      <c r="R210" s="211">
        <f t="shared" ref="R210:R215" si="363">J210*J$226/1000000</f>
        <v>0</v>
      </c>
      <c r="S210" s="211">
        <f t="shared" ref="S210:S215" si="364">K210*K$226/1000000</f>
        <v>0.11112870395999085</v>
      </c>
      <c r="T210" s="211">
        <f t="shared" ref="T210:T215" si="365">L210*L$226/1000000</f>
        <v>4.14566821821249E-2</v>
      </c>
      <c r="U210" s="211">
        <f t="shared" ref="U210:U215" si="366">M210*M$226/1000000</f>
        <v>0.13698409458164865</v>
      </c>
      <c r="V210" s="211">
        <f t="shared" ref="V210:V215" si="367">N210*N$226/1000000</f>
        <v>0.33771569681461033</v>
      </c>
      <c r="W210" s="211">
        <f t="shared" ref="W210:W215" si="368">O210*O$226/1000000</f>
        <v>1.7725098077144841E-2</v>
      </c>
      <c r="X210" s="220">
        <f t="shared" ref="X210:X215" si="369">SUM(R210:W210)</f>
        <v>0.6450102756155196</v>
      </c>
      <c r="Z210" s="199"/>
      <c r="AA210" s="470"/>
      <c r="AB210" s="388"/>
      <c r="AC210" s="451"/>
      <c r="AJ210" s="68"/>
      <c r="AQ210" s="282"/>
    </row>
    <row r="211" spans="1:43">
      <c r="A211" s="10" t="s">
        <v>19</v>
      </c>
      <c r="J211" s="197">
        <f t="shared" si="362"/>
        <v>0</v>
      </c>
      <c r="K211" s="197">
        <f t="shared" si="362"/>
        <v>6276.7067999999999</v>
      </c>
      <c r="L211" s="197">
        <f t="shared" si="362"/>
        <v>0</v>
      </c>
      <c r="M211" s="197">
        <f t="shared" si="362"/>
        <v>128.34639999999999</v>
      </c>
      <c r="N211" s="197">
        <f t="shared" si="362"/>
        <v>131.23167999999998</v>
      </c>
      <c r="O211" s="197">
        <f t="shared" si="362"/>
        <v>133.23569999999998</v>
      </c>
      <c r="P211" s="212">
        <f t="shared" si="360"/>
        <v>6669.5205800000003</v>
      </c>
      <c r="Q211" s="202"/>
      <c r="R211" s="211">
        <f t="shared" si="363"/>
        <v>0</v>
      </c>
      <c r="S211" s="211">
        <f t="shared" si="364"/>
        <v>0.36721390151109423</v>
      </c>
      <c r="T211" s="211">
        <f t="shared" si="365"/>
        <v>0</v>
      </c>
      <c r="U211" s="211">
        <f t="shared" si="366"/>
        <v>9.0228692830645555E-3</v>
      </c>
      <c r="V211" s="211">
        <f t="shared" si="367"/>
        <v>4.296217409085968E-3</v>
      </c>
      <c r="W211" s="211">
        <f t="shared" si="368"/>
        <v>9.5507243015782348E-5</v>
      </c>
      <c r="X211" s="220">
        <f t="shared" si="369"/>
        <v>0.38062849544626054</v>
      </c>
      <c r="Z211" s="199"/>
      <c r="AA211" s="237"/>
      <c r="AB211" s="237"/>
      <c r="AC211" s="216"/>
      <c r="AF211" s="237"/>
      <c r="AG211" s="237"/>
      <c r="AH211" s="237"/>
      <c r="AJ211" s="68" t="s">
        <v>289</v>
      </c>
    </row>
    <row r="212" spans="1:43">
      <c r="A212" s="10" t="s">
        <v>20</v>
      </c>
      <c r="J212" s="197">
        <f t="shared" si="362"/>
        <v>140821.9417</v>
      </c>
      <c r="K212" s="197">
        <f t="shared" si="362"/>
        <v>4816.7639999999992</v>
      </c>
      <c r="L212" s="197">
        <f t="shared" si="362"/>
        <v>0</v>
      </c>
      <c r="M212" s="197">
        <f t="shared" si="362"/>
        <v>18515.446739999999</v>
      </c>
      <c r="N212" s="197">
        <f t="shared" si="362"/>
        <v>60640.18576</v>
      </c>
      <c r="O212" s="197">
        <f t="shared" si="362"/>
        <v>76.908000000000001</v>
      </c>
      <c r="P212" s="212">
        <f t="shared" si="360"/>
        <v>224871.24619999997</v>
      </c>
      <c r="Q212" s="202"/>
      <c r="R212" s="211">
        <f t="shared" si="363"/>
        <v>13.10731286870373</v>
      </c>
      <c r="S212" s="211">
        <f t="shared" si="364"/>
        <v>0.28180107139912669</v>
      </c>
      <c r="T212" s="211">
        <f t="shared" si="365"/>
        <v>0</v>
      </c>
      <c r="U212" s="211">
        <f t="shared" si="366"/>
        <v>1.3016528367960751</v>
      </c>
      <c r="V212" s="211">
        <f t="shared" si="367"/>
        <v>1.9852174547511627</v>
      </c>
      <c r="W212" s="211">
        <f t="shared" si="368"/>
        <v>5.5129901714463839E-5</v>
      </c>
      <c r="X212" s="220">
        <f t="shared" si="369"/>
        <v>16.676039361551808</v>
      </c>
      <c r="Z212" s="199"/>
      <c r="AA212" s="237"/>
      <c r="AB212" s="237"/>
      <c r="AC212" s="216"/>
      <c r="AF212" s="237"/>
      <c r="AG212" s="237"/>
      <c r="AH212" s="237"/>
    </row>
    <row r="213" spans="1:43">
      <c r="A213" s="10" t="s">
        <v>21</v>
      </c>
      <c r="J213" s="197">
        <f t="shared" si="362"/>
        <v>0</v>
      </c>
      <c r="K213" s="197">
        <f t="shared" si="362"/>
        <v>401586.71575999999</v>
      </c>
      <c r="L213" s="197">
        <f t="shared" si="362"/>
        <v>0</v>
      </c>
      <c r="M213" s="197">
        <f t="shared" si="362"/>
        <v>62.37</v>
      </c>
      <c r="N213" s="197">
        <f t="shared" si="362"/>
        <v>15274.696019999999</v>
      </c>
      <c r="O213" s="197">
        <f t="shared" si="362"/>
        <v>45.910200000000003</v>
      </c>
      <c r="P213" s="212">
        <f t="shared" si="360"/>
        <v>416969.69197999995</v>
      </c>
      <c r="Q213" s="202"/>
      <c r="R213" s="211">
        <f t="shared" si="363"/>
        <v>0</v>
      </c>
      <c r="S213" s="211">
        <f t="shared" si="364"/>
        <v>23.494521791149531</v>
      </c>
      <c r="T213" s="211">
        <f t="shared" si="365"/>
        <v>0</v>
      </c>
      <c r="U213" s="211">
        <f t="shared" si="366"/>
        <v>4.3846680326424135E-3</v>
      </c>
      <c r="V213" s="211">
        <f t="shared" si="367"/>
        <v>0.50005772203495502</v>
      </c>
      <c r="W213" s="211">
        <f t="shared" si="368"/>
        <v>3.2909772893475037E-5</v>
      </c>
      <c r="X213" s="220">
        <f t="shared" si="369"/>
        <v>23.998997090990024</v>
      </c>
      <c r="Z213" s="199"/>
      <c r="AA213" s="237"/>
      <c r="AB213" s="237"/>
      <c r="AC213" s="216"/>
      <c r="AF213" s="237"/>
      <c r="AG213" s="237"/>
      <c r="AH213" s="237"/>
      <c r="AJ213" s="11" t="s">
        <v>24</v>
      </c>
      <c r="AK213" s="286" t="str">
        <f t="shared" ref="AK213:AK219" si="370">IFERROR(((J197/11.63)+J234)/J241,"")</f>
        <v/>
      </c>
      <c r="AL213" s="286">
        <f t="shared" ref="AL213:AL219" si="371">IFERROR(((K197/11.63)+K234)/K241,"")</f>
        <v>0.66686597453031327</v>
      </c>
      <c r="AM213" s="286">
        <f t="shared" ref="AM213:AM219" si="372">IFERROR(((L197/11.63)+L234)/L241,"")</f>
        <v>0.42592183314531351</v>
      </c>
      <c r="AN213" s="286">
        <f t="shared" ref="AN213:AN219" si="373">IFERROR(((M197/11.63)+M234)/M241,"")</f>
        <v>0.77599251462005037</v>
      </c>
      <c r="AO213" s="286">
        <f t="shared" ref="AO213:AO219" si="374">IFERROR(((N197/11.63)+N234)/N241,"")</f>
        <v>0.55506189647711623</v>
      </c>
      <c r="AP213" s="286">
        <f t="shared" ref="AP213:AP219" si="375">IFERROR(((O197/11.63)+O234)/O241,"")</f>
        <v>0.58558012473212329</v>
      </c>
      <c r="AQ213" s="286">
        <f t="shared" ref="AQ213:AQ219" si="376">IFERROR(((P197/11.63)+P234)/P241,"")</f>
        <v>0.64533507935764411</v>
      </c>
    </row>
    <row r="214" spans="1:43">
      <c r="A214" s="10" t="s">
        <v>23</v>
      </c>
      <c r="J214" s="197">
        <f t="shared" si="362"/>
        <v>0</v>
      </c>
      <c r="K214" s="197">
        <f t="shared" si="362"/>
        <v>0</v>
      </c>
      <c r="L214" s="197">
        <f t="shared" si="362"/>
        <v>0</v>
      </c>
      <c r="M214" s="197">
        <f t="shared" si="362"/>
        <v>0</v>
      </c>
      <c r="N214" s="197">
        <f t="shared" si="362"/>
        <v>0</v>
      </c>
      <c r="O214" s="197">
        <f t="shared" si="362"/>
        <v>0</v>
      </c>
      <c r="P214" s="212">
        <f t="shared" si="360"/>
        <v>0</v>
      </c>
      <c r="Q214" s="202"/>
      <c r="R214" s="211">
        <f t="shared" si="363"/>
        <v>0</v>
      </c>
      <c r="S214" s="211">
        <f t="shared" si="364"/>
        <v>0</v>
      </c>
      <c r="T214" s="211">
        <f t="shared" si="365"/>
        <v>0</v>
      </c>
      <c r="U214" s="211">
        <f t="shared" si="366"/>
        <v>0</v>
      </c>
      <c r="V214" s="211">
        <f t="shared" si="367"/>
        <v>0</v>
      </c>
      <c r="W214" s="211">
        <f t="shared" si="368"/>
        <v>0</v>
      </c>
      <c r="X214" s="220">
        <f t="shared" si="369"/>
        <v>0</v>
      </c>
      <c r="Z214" s="199"/>
      <c r="AA214" s="237"/>
      <c r="AB214" s="237"/>
      <c r="AC214" s="216"/>
      <c r="AF214" s="237"/>
      <c r="AG214" s="237"/>
      <c r="AH214" s="237"/>
      <c r="AJ214" s="10" t="s">
        <v>25</v>
      </c>
      <c r="AK214" s="56" t="str">
        <f t="shared" si="370"/>
        <v/>
      </c>
      <c r="AL214" s="56">
        <f t="shared" si="371"/>
        <v>0.72677879734600803</v>
      </c>
      <c r="AM214" s="56">
        <f t="shared" si="372"/>
        <v>0.59145423191537827</v>
      </c>
      <c r="AN214" s="56">
        <f t="shared" si="373"/>
        <v>0.70465365021216786</v>
      </c>
      <c r="AO214" s="56">
        <f t="shared" si="374"/>
        <v>0.65951610819710804</v>
      </c>
      <c r="AP214" s="56">
        <f t="shared" si="375"/>
        <v>0.58564614266575543</v>
      </c>
      <c r="AQ214" s="286">
        <f t="shared" si="376"/>
        <v>0.67635162099675539</v>
      </c>
    </row>
    <row r="215" spans="1:43">
      <c r="A215" s="10" t="s">
        <v>387</v>
      </c>
      <c r="J215" s="197"/>
      <c r="K215" s="197"/>
      <c r="L215" s="197"/>
      <c r="M215" s="197"/>
      <c r="N215" s="197"/>
      <c r="O215" s="197"/>
      <c r="P215" s="212"/>
      <c r="Q215" s="202"/>
      <c r="R215" s="211">
        <f t="shared" si="363"/>
        <v>0</v>
      </c>
      <c r="S215" s="211">
        <f t="shared" si="364"/>
        <v>0</v>
      </c>
      <c r="T215" s="211">
        <f t="shared" si="365"/>
        <v>0</v>
      </c>
      <c r="U215" s="211">
        <f t="shared" si="366"/>
        <v>0</v>
      </c>
      <c r="V215" s="211">
        <f t="shared" si="367"/>
        <v>0</v>
      </c>
      <c r="W215" s="211">
        <f t="shared" si="368"/>
        <v>0</v>
      </c>
      <c r="X215" s="220">
        <f t="shared" si="369"/>
        <v>0</v>
      </c>
      <c r="Z215" s="199"/>
      <c r="AA215" s="237"/>
      <c r="AB215" s="451"/>
      <c r="AC215" s="216"/>
      <c r="AJ215" s="10" t="s">
        <v>26</v>
      </c>
      <c r="AK215" s="56" t="str">
        <f t="shared" si="370"/>
        <v/>
      </c>
      <c r="AL215" s="56">
        <f t="shared" si="371"/>
        <v>0.76157962726102935</v>
      </c>
      <c r="AM215" s="56" t="str">
        <f t="shared" si="372"/>
        <v/>
      </c>
      <c r="AN215" s="56">
        <f t="shared" si="373"/>
        <v>0.82063448994948451</v>
      </c>
      <c r="AO215" s="56">
        <f t="shared" si="374"/>
        <v>0.70987222309376041</v>
      </c>
      <c r="AP215" s="56">
        <f t="shared" si="375"/>
        <v>0.72370306684476926</v>
      </c>
      <c r="AQ215" s="286">
        <f t="shared" si="376"/>
        <v>0.76379541439078003</v>
      </c>
    </row>
    <row r="216" spans="1:43">
      <c r="A216" s="11" t="s">
        <v>24</v>
      </c>
      <c r="J216" s="209">
        <f t="shared" ref="J216:O216" si="377">SUM(J217:J221)</f>
        <v>0</v>
      </c>
      <c r="K216" s="209">
        <f t="shared" si="377"/>
        <v>502571.61534000008</v>
      </c>
      <c r="L216" s="209">
        <f t="shared" si="377"/>
        <v>18265.68446</v>
      </c>
      <c r="M216" s="209">
        <f t="shared" si="377"/>
        <v>11664.708110000001</v>
      </c>
      <c r="N216" s="209">
        <f t="shared" si="377"/>
        <v>81713.475999999995</v>
      </c>
      <c r="O216" s="209">
        <f t="shared" si="377"/>
        <v>41811.360099999991</v>
      </c>
      <c r="P216" s="298">
        <f t="shared" ref="P216:P221" si="378">SUM(J216:O216)</f>
        <v>656026.84401000012</v>
      </c>
      <c r="Q216" s="202"/>
      <c r="R216" s="209">
        <f t="shared" ref="R216:W216" si="379">SUM(R217:R221)</f>
        <v>0</v>
      </c>
      <c r="S216" s="209">
        <f t="shared" si="379"/>
        <v>29.402565634853978</v>
      </c>
      <c r="T216" s="209">
        <f t="shared" si="379"/>
        <v>3.3156335801431789</v>
      </c>
      <c r="U216" s="209">
        <f t="shared" si="379"/>
        <v>0.82003964662532802</v>
      </c>
      <c r="V216" s="209">
        <f t="shared" si="379"/>
        <v>2.6751075513788174</v>
      </c>
      <c r="W216" s="209">
        <f t="shared" si="379"/>
        <v>2.9971604681711332E-2</v>
      </c>
      <c r="X216" s="220">
        <f t="shared" ref="X216:X222" si="380">SUM(R216:W216)</f>
        <v>36.243318017683009</v>
      </c>
      <c r="Z216" s="199"/>
      <c r="AA216" s="237"/>
      <c r="AB216" s="451"/>
      <c r="AC216" s="216"/>
      <c r="AJ216" s="10" t="s">
        <v>27</v>
      </c>
      <c r="AK216" s="56" t="str">
        <f t="shared" si="370"/>
        <v/>
      </c>
      <c r="AL216" s="56">
        <f t="shared" si="371"/>
        <v>0.63515371681536259</v>
      </c>
      <c r="AM216" s="56">
        <f t="shared" si="372"/>
        <v>0.47748677177606841</v>
      </c>
      <c r="AN216" s="56">
        <f t="shared" si="373"/>
        <v>0.72688309003528151</v>
      </c>
      <c r="AO216" s="56">
        <f t="shared" si="374"/>
        <v>0.66939145103154707</v>
      </c>
      <c r="AP216" s="56">
        <f t="shared" si="375"/>
        <v>0.54960377405177196</v>
      </c>
      <c r="AQ216" s="286">
        <f t="shared" si="376"/>
        <v>0.63706432726513385</v>
      </c>
    </row>
    <row r="217" spans="1:43">
      <c r="A217" s="10" t="s">
        <v>25</v>
      </c>
      <c r="J217" s="197">
        <f t="shared" ref="J217:O222" si="381">IFERROR(J198*R198,"")</f>
        <v>0</v>
      </c>
      <c r="K217" s="197">
        <f t="shared" si="381"/>
        <v>70753.409249999997</v>
      </c>
      <c r="L217" s="197">
        <f t="shared" si="381"/>
        <v>1100.2119</v>
      </c>
      <c r="M217" s="197">
        <f t="shared" si="381"/>
        <v>97.177800000000005</v>
      </c>
      <c r="N217" s="197">
        <f t="shared" si="381"/>
        <v>10826.427899999999</v>
      </c>
      <c r="O217" s="211">
        <f t="shared" si="381"/>
        <v>41523.545599999998</v>
      </c>
      <c r="P217" s="212">
        <f t="shared" si="378"/>
        <v>124300.77244999999</v>
      </c>
      <c r="Q217" s="202"/>
      <c r="R217" s="211">
        <f t="shared" ref="R217:R222" si="382">J217*J$226/1000000</f>
        <v>0</v>
      </c>
      <c r="S217" s="211">
        <f t="shared" ref="S217:S222" si="383">K217*K$226/1000000</f>
        <v>4.1393737645836257</v>
      </c>
      <c r="T217" s="211">
        <f t="shared" ref="T217:T222" si="384">L217*L$226/1000000</f>
        <v>0.19971326718698446</v>
      </c>
      <c r="U217" s="211">
        <f t="shared" ref="U217:U222" si="385">M217*M$226/1000000</f>
        <v>6.8316882017399076E-3</v>
      </c>
      <c r="V217" s="211">
        <f t="shared" ref="V217:V222" si="386">N217*N$226/1000000</f>
        <v>0.35443185686713791</v>
      </c>
      <c r="W217" s="211">
        <f t="shared" ref="W217:W222" si="387">O217*O$226/1000000</f>
        <v>2.9765290837936983E-2</v>
      </c>
      <c r="X217" s="220">
        <f t="shared" si="380"/>
        <v>4.7301158676774255</v>
      </c>
      <c r="Z217" s="199"/>
      <c r="AA217" s="237"/>
      <c r="AB217" s="451"/>
      <c r="AC217" s="216"/>
      <c r="AJ217" s="10" t="s">
        <v>28</v>
      </c>
      <c r="AK217" s="56" t="str">
        <f t="shared" si="370"/>
        <v/>
      </c>
      <c r="AL217" s="56">
        <f t="shared" si="371"/>
        <v>0.84427590027136512</v>
      </c>
      <c r="AM217" s="56" t="str">
        <f t="shared" si="372"/>
        <v/>
      </c>
      <c r="AN217" s="56">
        <f t="shared" si="373"/>
        <v>0.87515555229202679</v>
      </c>
      <c r="AO217" s="56">
        <f t="shared" si="374"/>
        <v>0.78563889864830072</v>
      </c>
      <c r="AP217" s="56" t="str">
        <f t="shared" si="375"/>
        <v/>
      </c>
      <c r="AQ217" s="286">
        <f t="shared" si="376"/>
        <v>0.82854988486724068</v>
      </c>
    </row>
    <row r="218" spans="1:43">
      <c r="A218" s="10" t="s">
        <v>26</v>
      </c>
      <c r="J218" s="197">
        <f t="shared" si="381"/>
        <v>0</v>
      </c>
      <c r="K218" s="197">
        <f t="shared" si="381"/>
        <v>42484.122239999997</v>
      </c>
      <c r="L218" s="197">
        <f t="shared" si="381"/>
        <v>0</v>
      </c>
      <c r="M218" s="197">
        <f t="shared" si="381"/>
        <v>1325.83311</v>
      </c>
      <c r="N218" s="197">
        <f t="shared" si="381"/>
        <v>191.78600000000003</v>
      </c>
      <c r="O218" s="197">
        <f t="shared" si="381"/>
        <v>27.725300000000001</v>
      </c>
      <c r="P218" s="212">
        <f t="shared" si="378"/>
        <v>44029.466649999995</v>
      </c>
      <c r="Q218" s="202"/>
      <c r="R218" s="211">
        <f t="shared" si="382"/>
        <v>0</v>
      </c>
      <c r="S218" s="211">
        <f t="shared" si="383"/>
        <v>2.4855008808161387</v>
      </c>
      <c r="T218" s="211">
        <f t="shared" si="384"/>
        <v>0</v>
      </c>
      <c r="U218" s="211">
        <f t="shared" si="385"/>
        <v>9.320728000698851E-2</v>
      </c>
      <c r="V218" s="211">
        <f t="shared" si="386"/>
        <v>6.2786238202464668E-3</v>
      </c>
      <c r="W218" s="211">
        <f t="shared" si="387"/>
        <v>1.9874305195870708E-5</v>
      </c>
      <c r="X218" s="220">
        <f t="shared" si="380"/>
        <v>2.5850066589485694</v>
      </c>
      <c r="Z218" s="199"/>
      <c r="AA218" s="237"/>
      <c r="AB218" s="237"/>
      <c r="AC218" s="216"/>
      <c r="AJ218" s="10" t="s">
        <v>29</v>
      </c>
      <c r="AK218" s="56" t="str">
        <f t="shared" si="370"/>
        <v/>
      </c>
      <c r="AL218" s="56">
        <f t="shared" si="371"/>
        <v>0.55344533747176661</v>
      </c>
      <c r="AM218" s="56">
        <f t="shared" si="372"/>
        <v>0.34403411853273103</v>
      </c>
      <c r="AN218" s="56">
        <f t="shared" si="373"/>
        <v>0.81934073138418617</v>
      </c>
      <c r="AO218" s="56">
        <f t="shared" si="374"/>
        <v>0.4411963313631308</v>
      </c>
      <c r="AP218" s="56">
        <f t="shared" si="375"/>
        <v>0.63055316715769572</v>
      </c>
      <c r="AQ218" s="286">
        <f t="shared" si="376"/>
        <v>0.466498939961426</v>
      </c>
    </row>
    <row r="219" spans="1:43">
      <c r="A219" s="10" t="s">
        <v>27</v>
      </c>
      <c r="J219" s="197">
        <f t="shared" si="381"/>
        <v>0</v>
      </c>
      <c r="K219" s="197">
        <f t="shared" si="381"/>
        <v>378839.45150000002</v>
      </c>
      <c r="L219" s="197">
        <f t="shared" si="381"/>
        <v>8298.6255199999996</v>
      </c>
      <c r="M219" s="197">
        <f t="shared" si="381"/>
        <v>8293.2976999999992</v>
      </c>
      <c r="N219" s="197">
        <f t="shared" si="381"/>
        <v>19894.79162</v>
      </c>
      <c r="O219" s="197">
        <f t="shared" si="381"/>
        <v>250.97040000000001</v>
      </c>
      <c r="P219" s="212">
        <f t="shared" si="378"/>
        <v>415577.13673999999</v>
      </c>
      <c r="Q219" s="202"/>
      <c r="R219" s="211">
        <f t="shared" si="382"/>
        <v>0</v>
      </c>
      <c r="S219" s="211">
        <f t="shared" si="383"/>
        <v>22.163710599264881</v>
      </c>
      <c r="T219" s="211">
        <f t="shared" si="384"/>
        <v>1.5063876474708986</v>
      </c>
      <c r="U219" s="211">
        <f t="shared" si="385"/>
        <v>0.58302641190278748</v>
      </c>
      <c r="V219" s="211">
        <f t="shared" si="386"/>
        <v>0.65130881588943801</v>
      </c>
      <c r="W219" s="211">
        <f t="shared" si="387"/>
        <v>1.7990291627970664E-4</v>
      </c>
      <c r="X219" s="220">
        <f t="shared" si="380"/>
        <v>24.904613377444285</v>
      </c>
      <c r="Z219" s="199"/>
      <c r="AA219" s="456"/>
      <c r="AB219" s="388"/>
      <c r="AC219" s="216"/>
      <c r="AJ219" s="10" t="s">
        <v>389</v>
      </c>
      <c r="AK219" s="56" t="str">
        <f t="shared" si="370"/>
        <v/>
      </c>
      <c r="AL219" s="56">
        <f t="shared" si="371"/>
        <v>0.4299226139576956</v>
      </c>
      <c r="AM219" s="56" t="str">
        <f t="shared" si="372"/>
        <v/>
      </c>
      <c r="AN219" s="56" t="str">
        <f t="shared" si="373"/>
        <v/>
      </c>
      <c r="AO219" s="56" t="str">
        <f t="shared" si="374"/>
        <v/>
      </c>
      <c r="AP219" s="56" t="str">
        <f t="shared" si="375"/>
        <v/>
      </c>
      <c r="AQ219" s="286">
        <f t="shared" si="376"/>
        <v>0.43938091146414449</v>
      </c>
    </row>
    <row r="220" spans="1:43">
      <c r="A220" s="10" t="s">
        <v>28</v>
      </c>
      <c r="J220" s="197">
        <f t="shared" si="381"/>
        <v>0</v>
      </c>
      <c r="K220" s="197">
        <f t="shared" si="381"/>
        <v>2798.0131499999998</v>
      </c>
      <c r="L220" s="197">
        <f t="shared" si="381"/>
        <v>0</v>
      </c>
      <c r="M220" s="197">
        <f t="shared" si="381"/>
        <v>836.95950000000005</v>
      </c>
      <c r="N220" s="197">
        <f t="shared" si="381"/>
        <v>3602.9700000000003</v>
      </c>
      <c r="O220" s="197">
        <f t="shared" si="381"/>
        <v>0</v>
      </c>
      <c r="P220" s="212">
        <f t="shared" si="378"/>
        <v>7237.94265</v>
      </c>
      <c r="Q220" s="202"/>
      <c r="R220" s="211">
        <f t="shared" si="382"/>
        <v>0</v>
      </c>
      <c r="S220" s="211">
        <f t="shared" si="383"/>
        <v>0.16369560631553579</v>
      </c>
      <c r="T220" s="211">
        <f t="shared" si="384"/>
        <v>0</v>
      </c>
      <c r="U220" s="211">
        <f t="shared" si="385"/>
        <v>5.8839018186089123E-2</v>
      </c>
      <c r="V220" s="211">
        <f t="shared" si="386"/>
        <v>0.11795278730268845</v>
      </c>
      <c r="W220" s="211">
        <f t="shared" si="387"/>
        <v>0</v>
      </c>
      <c r="X220" s="220">
        <f t="shared" si="380"/>
        <v>0.34048741180431336</v>
      </c>
      <c r="Z220" s="199"/>
      <c r="AA220" s="237"/>
      <c r="AB220" s="237"/>
      <c r="AC220" s="216"/>
      <c r="AF220" s="215"/>
      <c r="AG220" s="237"/>
      <c r="AH220" s="237"/>
      <c r="AJ220" s="308" t="s">
        <v>290</v>
      </c>
      <c r="AK220" s="307">
        <f t="shared" ref="AK220:AQ220" si="388">IFERROR(((J204/11.63)+J234)/(J241+J209/41.868),"")</f>
        <v>0.35845913918398981</v>
      </c>
      <c r="AL220" s="307">
        <f t="shared" si="388"/>
        <v>0.61518943206973475</v>
      </c>
      <c r="AM220" s="307">
        <f t="shared" si="388"/>
        <v>0.42561692926916211</v>
      </c>
      <c r="AN220" s="307">
        <f t="shared" si="388"/>
        <v>0.60520542936673882</v>
      </c>
      <c r="AO220" s="307">
        <f t="shared" si="388"/>
        <v>0.45489720624694224</v>
      </c>
      <c r="AP220" s="307">
        <f t="shared" si="388"/>
        <v>0.51795845297599208</v>
      </c>
      <c r="AQ220" s="307">
        <f t="shared" si="388"/>
        <v>0.56374422686980319</v>
      </c>
    </row>
    <row r="221" spans="1:43">
      <c r="A221" s="10" t="s">
        <v>29</v>
      </c>
      <c r="J221" s="197">
        <f t="shared" si="381"/>
        <v>0</v>
      </c>
      <c r="K221" s="197">
        <f t="shared" si="381"/>
        <v>7696.6191999999992</v>
      </c>
      <c r="L221" s="197">
        <f t="shared" si="381"/>
        <v>8866.8470400000006</v>
      </c>
      <c r="M221" s="197">
        <f t="shared" si="381"/>
        <v>1111.44</v>
      </c>
      <c r="N221" s="197">
        <f t="shared" si="381"/>
        <v>47197.500480000002</v>
      </c>
      <c r="O221" s="197">
        <f t="shared" si="381"/>
        <v>9.1188000000000002</v>
      </c>
      <c r="P221" s="212">
        <f t="shared" si="378"/>
        <v>64881.525519999996</v>
      </c>
      <c r="Q221" s="202"/>
      <c r="R221" s="211">
        <f t="shared" si="382"/>
        <v>0</v>
      </c>
      <c r="S221" s="211">
        <f t="shared" si="383"/>
        <v>0.45028478387379772</v>
      </c>
      <c r="T221" s="211">
        <f t="shared" si="384"/>
        <v>1.6095326654852962</v>
      </c>
      <c r="U221" s="211">
        <f t="shared" si="385"/>
        <v>7.813524832772302E-2</v>
      </c>
      <c r="V221" s="211">
        <f t="shared" si="386"/>
        <v>1.5451354674993065</v>
      </c>
      <c r="W221" s="211">
        <f t="shared" si="387"/>
        <v>6.5366222987706471E-6</v>
      </c>
      <c r="X221" s="220">
        <f t="shared" si="380"/>
        <v>3.6830947018084221</v>
      </c>
      <c r="Z221" s="199"/>
      <c r="AA221" s="237"/>
      <c r="AB221" s="237"/>
      <c r="AC221" s="216"/>
      <c r="AF221" s="215"/>
      <c r="AG221" s="237"/>
      <c r="AH221" s="237"/>
    </row>
    <row r="222" spans="1:43">
      <c r="A222" s="10" t="s">
        <v>389</v>
      </c>
      <c r="J222" s="197">
        <f t="shared" si="381"/>
        <v>0</v>
      </c>
      <c r="K222" s="197">
        <f t="shared" si="381"/>
        <v>2.1999</v>
      </c>
      <c r="L222" s="197">
        <f t="shared" si="381"/>
        <v>0</v>
      </c>
      <c r="M222" s="197">
        <f t="shared" si="381"/>
        <v>0</v>
      </c>
      <c r="N222" s="197">
        <f t="shared" si="381"/>
        <v>0</v>
      </c>
      <c r="O222" s="197">
        <f t="shared" si="381"/>
        <v>0</v>
      </c>
      <c r="P222" s="212">
        <f>SUM(J222:O222)</f>
        <v>2.1999</v>
      </c>
      <c r="Q222" s="202"/>
      <c r="R222" s="211">
        <f t="shared" si="382"/>
        <v>0</v>
      </c>
      <c r="S222" s="211">
        <f t="shared" si="383"/>
        <v>1.2870345671304196E-4</v>
      </c>
      <c r="T222" s="211">
        <f t="shared" si="384"/>
        <v>0</v>
      </c>
      <c r="U222" s="211">
        <f t="shared" si="385"/>
        <v>0</v>
      </c>
      <c r="V222" s="211">
        <f t="shared" si="386"/>
        <v>0</v>
      </c>
      <c r="W222" s="211">
        <f t="shared" si="387"/>
        <v>0</v>
      </c>
      <c r="X222" s="220">
        <f t="shared" si="380"/>
        <v>1.2870345671304196E-4</v>
      </c>
      <c r="Z222" s="199"/>
      <c r="AA222" s="237"/>
      <c r="AB222" s="237"/>
      <c r="AC222" s="219"/>
      <c r="AF222" s="215"/>
      <c r="AG222" s="237"/>
      <c r="AH222" s="237"/>
    </row>
    <row r="223" spans="1:43">
      <c r="A223" s="11" t="s">
        <v>10</v>
      </c>
      <c r="J223" s="212">
        <f t="shared" ref="J223:P223" si="389">J209+J216</f>
        <v>140821.9417</v>
      </c>
      <c r="K223" s="212">
        <f t="shared" si="389"/>
        <v>917151.30050000013</v>
      </c>
      <c r="L223" s="212">
        <f t="shared" si="389"/>
        <v>18494.06756</v>
      </c>
      <c r="M223" s="212">
        <f t="shared" si="389"/>
        <v>32319.410550000001</v>
      </c>
      <c r="N223" s="212">
        <f t="shared" si="389"/>
        <v>168075.40778000001</v>
      </c>
      <c r="O223" s="212">
        <f t="shared" si="389"/>
        <v>66794.50039999999</v>
      </c>
      <c r="P223" s="212">
        <f t="shared" si="389"/>
        <v>1343656.62849</v>
      </c>
      <c r="Q223" s="202"/>
      <c r="R223" s="229">
        <f t="shared" ref="R223:W223" si="390">R209+R216</f>
        <v>13.10731286870373</v>
      </c>
      <c r="S223" s="229">
        <f t="shared" si="390"/>
        <v>53.657231102873723</v>
      </c>
      <c r="T223" s="229">
        <f t="shared" si="390"/>
        <v>3.3570902623253036</v>
      </c>
      <c r="U223" s="229">
        <f t="shared" si="390"/>
        <v>2.272084115318759</v>
      </c>
      <c r="V223" s="229">
        <f t="shared" si="390"/>
        <v>5.5023946423886319</v>
      </c>
      <c r="W223" s="229">
        <f t="shared" si="390"/>
        <v>4.78802496764799E-2</v>
      </c>
      <c r="X223" s="229">
        <f>X209+X216</f>
        <v>77.94399324128662</v>
      </c>
      <c r="Z223" s="199"/>
      <c r="AA223" s="237"/>
      <c r="AB223" s="237"/>
      <c r="AC223" s="216"/>
      <c r="AF223" s="215"/>
      <c r="AG223" s="237"/>
      <c r="AH223" s="237"/>
    </row>
    <row r="224" spans="1:43">
      <c r="E224" s="68" t="s">
        <v>200</v>
      </c>
      <c r="F224" s="68"/>
      <c r="G224" s="68"/>
      <c r="H224" s="68"/>
      <c r="I224" s="68"/>
      <c r="J224" s="367">
        <f>J223/41.868</f>
        <v>3363.4742930161456</v>
      </c>
      <c r="K224" s="367">
        <f t="shared" ref="K224:P224" si="391">K223/41.868</f>
        <v>21905.78247109965</v>
      </c>
      <c r="L224" s="367">
        <f t="shared" si="391"/>
        <v>441.72321486576857</v>
      </c>
      <c r="M224" s="367">
        <f t="shared" si="391"/>
        <v>771.93585912869014</v>
      </c>
      <c r="N224" s="367">
        <f t="shared" si="391"/>
        <v>4014.4121472246106</v>
      </c>
      <c r="O224" s="367">
        <f t="shared" si="391"/>
        <v>1595.3592337823634</v>
      </c>
      <c r="P224" s="367">
        <f t="shared" si="391"/>
        <v>32092.687219117226</v>
      </c>
      <c r="R224" s="227">
        <v>13.10731286870373</v>
      </c>
      <c r="S224" s="227">
        <v>53.657231102873723</v>
      </c>
      <c r="T224" s="227">
        <v>3.3570902623253045</v>
      </c>
      <c r="U224" s="227">
        <v>2.2720841153187585</v>
      </c>
      <c r="V224" s="227">
        <v>5.5023947785521585</v>
      </c>
      <c r="W224" s="227">
        <v>4.78802496764799E-2</v>
      </c>
      <c r="X224" s="227">
        <v>77.943993377450155</v>
      </c>
      <c r="Z224" s="199"/>
      <c r="AA224" s="237"/>
      <c r="AB224" s="237"/>
      <c r="AC224" s="216"/>
      <c r="AF224" s="215"/>
      <c r="AG224" s="237"/>
      <c r="AH224" s="237"/>
    </row>
    <row r="225" spans="1:34">
      <c r="J225" s="367">
        <f>(J209)/41.868+J241</f>
        <v>3363.4742930161456</v>
      </c>
      <c r="K225" s="367">
        <f t="shared" ref="K225:P225" si="392">(K209)/41.868+K241</f>
        <v>25759.525662558517</v>
      </c>
      <c r="L225" s="367">
        <f t="shared" si="392"/>
        <v>485.15483662940676</v>
      </c>
      <c r="M225" s="367">
        <f t="shared" si="392"/>
        <v>1237.0890923855927</v>
      </c>
      <c r="N225" s="367">
        <f t="shared" si="392"/>
        <v>4879.0893030476727</v>
      </c>
      <c r="O225" s="367">
        <f t="shared" si="392"/>
        <v>1920.6120545524027</v>
      </c>
      <c r="P225" s="367">
        <f t="shared" si="392"/>
        <v>37644.945242189744</v>
      </c>
      <c r="T225" s="227"/>
      <c r="U225" s="228"/>
      <c r="Z225" s="199"/>
      <c r="AA225" s="237"/>
      <c r="AB225" s="237"/>
      <c r="AC225" s="216"/>
      <c r="AF225" s="215"/>
      <c r="AG225" s="237"/>
      <c r="AH225" s="237"/>
    </row>
    <row r="226" spans="1:34">
      <c r="A226" s="213" t="s">
        <v>217</v>
      </c>
      <c r="J226" s="198">
        <f>95+J227</f>
        <v>93.077205941577574</v>
      </c>
      <c r="K226" s="215">
        <f>56+K227</f>
        <v>58.504230516406189</v>
      </c>
      <c r="L226" s="177">
        <f>177+L227</f>
        <v>181.52254778100877</v>
      </c>
      <c r="M226" s="198">
        <f>68+M227</f>
        <v>70.300914424281132</v>
      </c>
      <c r="N226" s="198">
        <f>36+N227</f>
        <v>32.737654574611625</v>
      </c>
      <c r="O226" s="198">
        <f>1+O227</f>
        <v>0.71682922081530975</v>
      </c>
      <c r="P226" s="363">
        <f>P216/41.868</f>
        <v>15668.931976927488</v>
      </c>
      <c r="Q226" s="90">
        <f>P226-'5-x'!AA82</f>
        <v>0</v>
      </c>
      <c r="Z226" s="199"/>
      <c r="AA226" s="237"/>
      <c r="AB226" s="237"/>
      <c r="AC226" s="216"/>
      <c r="AF226" s="215"/>
      <c r="AG226" s="237"/>
      <c r="AH226" s="237"/>
    </row>
    <row r="227" spans="1:34">
      <c r="A227" s="504" t="s">
        <v>415</v>
      </c>
      <c r="B227" s="503"/>
      <c r="C227" s="503"/>
      <c r="D227" s="503"/>
      <c r="E227" s="503"/>
      <c r="F227" s="503"/>
      <c r="G227" s="503"/>
      <c r="H227" s="503"/>
      <c r="I227" s="503"/>
      <c r="J227" s="564">
        <v>-1.9227940584224328</v>
      </c>
      <c r="K227" s="564">
        <v>2.5042305164061913</v>
      </c>
      <c r="L227" s="564">
        <v>4.5225477810087611</v>
      </c>
      <c r="M227" s="564">
        <v>2.3009144242811281</v>
      </c>
      <c r="N227" s="564">
        <v>-3.262345425388375</v>
      </c>
      <c r="O227" s="564">
        <v>-0.28317077918469019</v>
      </c>
      <c r="P227" s="364">
        <f>P209/41.868</f>
        <v>16423.755242189738</v>
      </c>
      <c r="Q227" s="90">
        <f>P227-'5-x'!AA83</f>
        <v>0</v>
      </c>
      <c r="R227" s="506">
        <f>R223-R224</f>
        <v>0</v>
      </c>
      <c r="S227" s="506">
        <f>S223-S224</f>
        <v>0</v>
      </c>
      <c r="T227" s="506">
        <f>T223-SUM(T224:T225)</f>
        <v>0</v>
      </c>
      <c r="U227" s="506">
        <f>U223-U224</f>
        <v>0</v>
      </c>
      <c r="V227" s="505">
        <f>V223-V224</f>
        <v>-1.3616352667611409E-7</v>
      </c>
      <c r="W227" s="506">
        <f>W223-W224</f>
        <v>0</v>
      </c>
      <c r="X227" s="252">
        <f>X223-X224</f>
        <v>-1.3616353555789829E-7</v>
      </c>
      <c r="AA227" s="470"/>
      <c r="AB227" s="388"/>
      <c r="AC227" s="451"/>
    </row>
    <row r="228" spans="1:34">
      <c r="J228" s="198">
        <f t="shared" ref="J228:O228" si="393">J318</f>
        <v>94.013334214870554</v>
      </c>
      <c r="K228" s="198">
        <f t="shared" si="393"/>
        <v>57.900194918652439</v>
      </c>
      <c r="L228" s="198">
        <f t="shared" si="393"/>
        <v>160.88536383229078</v>
      </c>
      <c r="M228" s="198">
        <f t="shared" si="393"/>
        <v>67.311295614367666</v>
      </c>
      <c r="N228" s="198">
        <f t="shared" si="393"/>
        <v>38.659929875437356</v>
      </c>
      <c r="O228" s="198">
        <f t="shared" si="393"/>
        <v>1.1509445395355939</v>
      </c>
      <c r="P228" s="365">
        <f>P241-P226</f>
        <v>5552.2580230725143</v>
      </c>
      <c r="Q228" s="90">
        <f>P228-'5-x'!AA84</f>
        <v>0</v>
      </c>
      <c r="Z228" s="199"/>
      <c r="AA228" s="237"/>
      <c r="AB228" s="620"/>
      <c r="AC228" s="216"/>
    </row>
    <row r="229" spans="1:34">
      <c r="J229" s="198">
        <f t="shared" ref="J229:O229" si="394">J216/41.868</f>
        <v>0</v>
      </c>
      <c r="K229" s="198">
        <f t="shared" si="394"/>
        <v>12003.71680854113</v>
      </c>
      <c r="L229" s="198">
        <f t="shared" si="394"/>
        <v>436.26837823636191</v>
      </c>
      <c r="M229" s="198">
        <f t="shared" si="394"/>
        <v>278.60676674309735</v>
      </c>
      <c r="N229" s="198">
        <f t="shared" si="394"/>
        <v>1951.6928441769369</v>
      </c>
      <c r="O229" s="198">
        <f t="shared" si="394"/>
        <v>998.64717922996056</v>
      </c>
      <c r="P229" s="366">
        <f>SUM(P226:P228)</f>
        <v>37644.945242189744</v>
      </c>
      <c r="Q229" s="366"/>
      <c r="Z229" s="199"/>
      <c r="AA229" s="237"/>
      <c r="AB229" s="237"/>
      <c r="AC229" s="216"/>
    </row>
    <row r="230" spans="1:34">
      <c r="J230" s="198" t="str">
        <f t="shared" ref="J230:O230" si="395">IFERROR(J241-(J234/J231),"")</f>
        <v/>
      </c>
      <c r="K230" s="198">
        <f t="shared" si="395"/>
        <v>12003.71680854113</v>
      </c>
      <c r="L230" s="198">
        <f t="shared" si="395"/>
        <v>436.26837823636191</v>
      </c>
      <c r="M230" s="198">
        <f t="shared" si="395"/>
        <v>278.60676674309735</v>
      </c>
      <c r="N230" s="198">
        <f t="shared" si="395"/>
        <v>1951.6928441769369</v>
      </c>
      <c r="O230" s="198">
        <f t="shared" si="395"/>
        <v>998.64717922996056</v>
      </c>
      <c r="P230" s="198"/>
      <c r="Z230" s="199"/>
      <c r="AA230" s="237"/>
      <c r="AB230" s="237"/>
      <c r="AC230" s="216"/>
    </row>
    <row r="231" spans="1:34">
      <c r="A231" s="271" t="s">
        <v>413</v>
      </c>
      <c r="J231" s="558" t="str">
        <f t="shared" ref="J231:P231" si="396">IFERROR(J234/(J241-J216/41.868),"")</f>
        <v/>
      </c>
      <c r="K231" s="558">
        <f t="shared" si="396"/>
        <v>0.8992282301551221</v>
      </c>
      <c r="L231" s="558">
        <f t="shared" si="396"/>
        <v>0.90000240556537914</v>
      </c>
      <c r="M231" s="558">
        <f t="shared" si="396"/>
        <v>0.89765258399818271</v>
      </c>
      <c r="N231" s="558">
        <f t="shared" si="396"/>
        <v>0.86344285519558106</v>
      </c>
      <c r="O231" s="558">
        <f t="shared" si="396"/>
        <v>0.89486575086087805</v>
      </c>
      <c r="P231" s="558">
        <f t="shared" si="396"/>
        <v>0.89327371615208595</v>
      </c>
      <c r="Z231" s="199"/>
      <c r="AA231" s="237"/>
      <c r="AB231" s="237"/>
      <c r="AC231" s="216"/>
    </row>
    <row r="232" spans="1:34">
      <c r="A232" s="68" t="s">
        <v>276</v>
      </c>
      <c r="J232" s="198"/>
      <c r="K232" s="198"/>
      <c r="L232" s="558">
        <f>IFERROR(SUM(K234:M234)/(SUM(K241:M241)-SUM(K216:M216)/41.868),"")</f>
        <v>0.89906792739858388</v>
      </c>
      <c r="P232" s="198"/>
      <c r="R232" s="221" t="s">
        <v>438</v>
      </c>
      <c r="S232" s="195"/>
      <c r="T232" s="195"/>
      <c r="U232" s="195"/>
      <c r="V232" s="195"/>
      <c r="W232" s="195"/>
      <c r="X232" s="195"/>
      <c r="Z232" s="199"/>
      <c r="AA232" s="237"/>
      <c r="AB232" s="237"/>
      <c r="AC232" s="216"/>
    </row>
    <row r="233" spans="1:34">
      <c r="A233" s="68" t="str">
        <f>$A$188</f>
        <v>Dati 2021 lorda</v>
      </c>
      <c r="J233" s="210" t="s">
        <v>5</v>
      </c>
      <c r="K233" s="210" t="s">
        <v>210</v>
      </c>
      <c r="L233" s="210" t="s">
        <v>211</v>
      </c>
      <c r="M233" s="210" t="s">
        <v>214</v>
      </c>
      <c r="N233" s="210" t="s">
        <v>216</v>
      </c>
      <c r="O233" s="210" t="s">
        <v>215</v>
      </c>
      <c r="P233" s="210" t="s">
        <v>213</v>
      </c>
      <c r="R233" s="221" t="s">
        <v>5</v>
      </c>
      <c r="S233" s="221" t="s">
        <v>210</v>
      </c>
      <c r="T233" s="221" t="s">
        <v>211</v>
      </c>
      <c r="U233" s="221" t="s">
        <v>214</v>
      </c>
      <c r="V233" s="221" t="s">
        <v>216</v>
      </c>
      <c r="W233" s="221" t="s">
        <v>215</v>
      </c>
      <c r="X233" s="221" t="s">
        <v>213</v>
      </c>
      <c r="AA233" s="210" t="s">
        <v>5</v>
      </c>
      <c r="AB233" s="210" t="s">
        <v>210</v>
      </c>
      <c r="AC233" s="210" t="s">
        <v>211</v>
      </c>
      <c r="AD233" s="210" t="s">
        <v>214</v>
      </c>
      <c r="AE233" s="210" t="s">
        <v>216</v>
      </c>
      <c r="AF233" s="210" t="s">
        <v>215</v>
      </c>
      <c r="AG233" s="210" t="s">
        <v>213</v>
      </c>
    </row>
    <row r="234" spans="1:34">
      <c r="A234" s="223" t="s">
        <v>275</v>
      </c>
      <c r="J234" s="209">
        <f t="shared" ref="J234:O234" si="397">SUM(J235:J240)</f>
        <v>0</v>
      </c>
      <c r="K234" s="209">
        <f t="shared" si="397"/>
        <v>3465.3946695279119</v>
      </c>
      <c r="L234" s="209">
        <f t="shared" si="397"/>
        <v>39.088564064879996</v>
      </c>
      <c r="M234" s="209">
        <f t="shared" si="397"/>
        <v>417.54600178816798</v>
      </c>
      <c r="N234" s="209">
        <f t="shared" si="397"/>
        <v>746.59931224625984</v>
      </c>
      <c r="O234" s="209">
        <f t="shared" si="397"/>
        <v>291.05760967800001</v>
      </c>
      <c r="P234" s="298">
        <f>SUM(J234:O234)</f>
        <v>4959.6861573052192</v>
      </c>
      <c r="Q234" s="223" t="s">
        <v>17</v>
      </c>
      <c r="R234" s="316">
        <f t="shared" ref="R234:R247" si="398">IFERROR(R209/J190*1000000,0)</f>
        <v>934.77437927126357</v>
      </c>
      <c r="S234" s="316">
        <f t="shared" ref="S234:S247" si="399">IFERROR(S209/K190*1000000,0)</f>
        <v>395.57126085849922</v>
      </c>
      <c r="T234" s="316">
        <f t="shared" ref="T234:T247" si="400">IFERROR(T209/L190*1000000,0)</f>
        <v>1638.6040388191659</v>
      </c>
      <c r="U234" s="316">
        <f t="shared" ref="U234:U247" si="401">IFERROR(U209/M190*1000000,0)</f>
        <v>727.83454235718477</v>
      </c>
      <c r="V234" s="316">
        <f t="shared" ref="V234:V247" si="402">IFERROR(V209/N190*1000000,0)</f>
        <v>370.4570022641592</v>
      </c>
      <c r="W234" s="316">
        <f t="shared" ref="W234:W247" si="403">IFERROR(W209/O190*1000000,0)</f>
        <v>7.0138113195925982</v>
      </c>
      <c r="X234" s="316">
        <f t="shared" ref="X234:X247" si="404">IFERROR(X209/P190*1000000,0)</f>
        <v>476.34511025501416</v>
      </c>
      <c r="Z234" s="621" t="s">
        <v>471</v>
      </c>
      <c r="AA234" s="209">
        <f t="shared" ref="AA234:AF234" si="405">SUM(AA235:AA240)</f>
        <v>0</v>
      </c>
      <c r="AB234" s="209">
        <f t="shared" si="405"/>
        <v>40302.539999999994</v>
      </c>
      <c r="AC234" s="209">
        <f t="shared" si="405"/>
        <v>454.6</v>
      </c>
      <c r="AD234" s="209">
        <f t="shared" si="405"/>
        <v>4856.0600000000004</v>
      </c>
      <c r="AE234" s="209">
        <f t="shared" si="405"/>
        <v>8682.9500000000007</v>
      </c>
      <c r="AF234" s="209">
        <f t="shared" si="405"/>
        <v>3385.0000000000005</v>
      </c>
      <c r="AG234" s="298">
        <f>SUM(AA234:AF234)</f>
        <v>57681.149999999994</v>
      </c>
    </row>
    <row r="235" spans="1:34">
      <c r="A235" s="216" t="s">
        <v>25</v>
      </c>
      <c r="J235" s="487">
        <f t="shared" ref="J235:K240" si="406">IFERROR(AA235*85.9845228/1000,"")</f>
        <v>0</v>
      </c>
      <c r="K235" s="487">
        <f t="shared" si="406"/>
        <v>810.61049024471993</v>
      </c>
      <c r="L235" s="487">
        <f t="shared" ref="L235:L240" si="407">IFERROR(AC235*85.9845228/1000,"")</f>
        <v>7.4892519358799987</v>
      </c>
      <c r="M235" s="487">
        <f t="shared" ref="M235:M240" si="408">IFERROR(AD235*85.9845228/1000,"")</f>
        <v>1.6079105763599999</v>
      </c>
      <c r="N235" s="487">
        <f t="shared" ref="N235:N240" si="409">IFERROR(AE235*85.9845228/1000,"")</f>
        <v>172.61392952099999</v>
      </c>
      <c r="O235" s="487">
        <f t="shared" ref="O235:O240" si="410">IFERROR(AF235*85.9845228/1000,"")</f>
        <v>289.20034398552002</v>
      </c>
      <c r="P235" s="298">
        <f t="shared" ref="P235:P240" si="411">SUM(J235:O235)</f>
        <v>1281.5219262634801</v>
      </c>
      <c r="Q235" s="216" t="s">
        <v>18</v>
      </c>
      <c r="R235" s="317">
        <f t="shared" si="398"/>
        <v>0</v>
      </c>
      <c r="S235" s="317">
        <f t="shared" si="399"/>
        <v>556.19971951947366</v>
      </c>
      <c r="T235" s="317">
        <f t="shared" si="400"/>
        <v>1638.6040388191659</v>
      </c>
      <c r="U235" s="317">
        <f t="shared" si="401"/>
        <v>669.19440440473204</v>
      </c>
      <c r="V235" s="317">
        <f t="shared" si="402"/>
        <v>287.63303309253769</v>
      </c>
      <c r="W235" s="317">
        <f t="shared" si="403"/>
        <v>7.0141739256778051</v>
      </c>
      <c r="X235" s="316">
        <f t="shared" si="404"/>
        <v>156.14052801661589</v>
      </c>
      <c r="Z235" s="239" t="s">
        <v>25</v>
      </c>
      <c r="AA235" s="453"/>
      <c r="AB235" s="453">
        <v>9427.4</v>
      </c>
      <c r="AC235" s="453">
        <v>87.1</v>
      </c>
      <c r="AD235" s="453">
        <v>18.7</v>
      </c>
      <c r="AE235" s="453">
        <v>2007.5</v>
      </c>
      <c r="AF235" s="453">
        <v>3363.4</v>
      </c>
      <c r="AG235" s="622">
        <f t="shared" ref="AG235:AG240" si="412">SUM(AA235:AF235)</f>
        <v>14904.1</v>
      </c>
    </row>
    <row r="236" spans="1:34">
      <c r="A236" s="216" t="s">
        <v>26</v>
      </c>
      <c r="J236" s="487">
        <f t="shared" si="406"/>
        <v>0</v>
      </c>
      <c r="K236" s="487">
        <f t="shared" si="406"/>
        <v>798.601891790472</v>
      </c>
      <c r="L236" s="487">
        <f t="shared" si="407"/>
        <v>0</v>
      </c>
      <c r="M236" s="487">
        <f t="shared" si="408"/>
        <v>50.80051591546799</v>
      </c>
      <c r="N236" s="487">
        <f t="shared" si="409"/>
        <v>7.3860705085199996</v>
      </c>
      <c r="O236" s="487">
        <f t="shared" si="410"/>
        <v>0.46431642311999999</v>
      </c>
      <c r="P236" s="298">
        <f t="shared" si="411"/>
        <v>857.25279463757988</v>
      </c>
      <c r="Q236" s="216" t="s">
        <v>19</v>
      </c>
      <c r="R236" s="317">
        <f t="shared" si="398"/>
        <v>0</v>
      </c>
      <c r="S236" s="317">
        <f t="shared" si="399"/>
        <v>572.69791252510015</v>
      </c>
      <c r="T236" s="317">
        <f t="shared" si="400"/>
        <v>0</v>
      </c>
      <c r="U236" s="317">
        <f t="shared" si="401"/>
        <v>1049.1708468679717</v>
      </c>
      <c r="V236" s="317">
        <f t="shared" si="402"/>
        <v>433.08643236753704</v>
      </c>
      <c r="W236" s="317">
        <f t="shared" si="403"/>
        <v>7.520255355573414</v>
      </c>
      <c r="X236" s="316">
        <f t="shared" si="404"/>
        <v>566.05766551598788</v>
      </c>
      <c r="Z236" s="239" t="s">
        <v>26</v>
      </c>
      <c r="AA236" s="453"/>
      <c r="AB236" s="453">
        <v>9287.74</v>
      </c>
      <c r="AC236" s="453"/>
      <c r="AD236" s="453">
        <v>590.80999999999995</v>
      </c>
      <c r="AE236" s="453">
        <v>85.9</v>
      </c>
      <c r="AF236" s="453">
        <v>5.4</v>
      </c>
      <c r="AG236" s="622">
        <f t="shared" si="412"/>
        <v>9969.8499999999985</v>
      </c>
    </row>
    <row r="237" spans="1:34">
      <c r="A237" s="216" t="s">
        <v>27</v>
      </c>
      <c r="J237" s="487">
        <f t="shared" si="406"/>
        <v>0</v>
      </c>
      <c r="K237" s="487">
        <f t="shared" si="406"/>
        <v>1646.3456580515999</v>
      </c>
      <c r="L237" s="487">
        <f t="shared" si="407"/>
        <v>28.81341359028</v>
      </c>
      <c r="M237" s="487">
        <f t="shared" si="408"/>
        <v>195.42562341984001</v>
      </c>
      <c r="N237" s="487">
        <f t="shared" si="409"/>
        <v>126.69819434579999</v>
      </c>
      <c r="O237" s="487">
        <f t="shared" si="410"/>
        <v>1.2811693897200001</v>
      </c>
      <c r="P237" s="298">
        <f t="shared" si="411"/>
        <v>1998.56405879724</v>
      </c>
      <c r="Q237" s="216" t="s">
        <v>20</v>
      </c>
      <c r="R237" s="317">
        <f t="shared" si="398"/>
        <v>934.77437927126357</v>
      </c>
      <c r="S237" s="317">
        <f t="shared" si="399"/>
        <v>584.16474170631568</v>
      </c>
      <c r="T237" s="317">
        <f t="shared" si="400"/>
        <v>0</v>
      </c>
      <c r="U237" s="317">
        <f t="shared" si="401"/>
        <v>733.73064384622228</v>
      </c>
      <c r="V237" s="317">
        <f t="shared" si="402"/>
        <v>443.66069479513675</v>
      </c>
      <c r="W237" s="317">
        <f t="shared" si="403"/>
        <v>6.4858707899369223</v>
      </c>
      <c r="X237" s="316">
        <f t="shared" si="404"/>
        <v>803.22132421154629</v>
      </c>
      <c r="Z237" s="239" t="s">
        <v>27</v>
      </c>
      <c r="AA237" s="453"/>
      <c r="AB237" s="453">
        <v>19147</v>
      </c>
      <c r="AC237" s="453">
        <v>335.1</v>
      </c>
      <c r="AD237" s="453">
        <v>2272.8000000000002</v>
      </c>
      <c r="AE237" s="453">
        <v>1473.5</v>
      </c>
      <c r="AF237" s="453">
        <v>14.9</v>
      </c>
      <c r="AG237" s="622">
        <f t="shared" si="412"/>
        <v>23243.3</v>
      </c>
    </row>
    <row r="238" spans="1:34">
      <c r="A238" s="216" t="s">
        <v>28</v>
      </c>
      <c r="J238" s="487">
        <f t="shared" si="406"/>
        <v>0</v>
      </c>
      <c r="K238" s="487">
        <f t="shared" si="406"/>
        <v>136.51762684955997</v>
      </c>
      <c r="L238" s="487">
        <f t="shared" si="407"/>
        <v>0</v>
      </c>
      <c r="M238" s="487">
        <f t="shared" si="408"/>
        <v>88.615649197679986</v>
      </c>
      <c r="N238" s="487">
        <f t="shared" si="409"/>
        <v>109.69045573596</v>
      </c>
      <c r="O238" s="487">
        <f t="shared" si="410"/>
        <v>0</v>
      </c>
      <c r="P238" s="298">
        <f t="shared" si="411"/>
        <v>334.82373178319995</v>
      </c>
      <c r="Q238" s="216" t="s">
        <v>21</v>
      </c>
      <c r="R238" s="317">
        <f t="shared" si="398"/>
        <v>0</v>
      </c>
      <c r="S238" s="317">
        <f t="shared" si="399"/>
        <v>391.62731907682303</v>
      </c>
      <c r="T238" s="317">
        <f t="shared" si="400"/>
        <v>0</v>
      </c>
      <c r="U238" s="317">
        <f t="shared" si="401"/>
        <v>569.43740683667704</v>
      </c>
      <c r="V238" s="317">
        <f t="shared" si="402"/>
        <v>253.4221840620686</v>
      </c>
      <c r="W238" s="317">
        <f t="shared" si="403"/>
        <v>6.4528966457794192</v>
      </c>
      <c r="X238" s="316">
        <f t="shared" si="404"/>
        <v>387.21762331686449</v>
      </c>
      <c r="Z238" s="239" t="s">
        <v>28</v>
      </c>
      <c r="AA238" s="453">
        <v>0</v>
      </c>
      <c r="AB238" s="453">
        <v>1587.7</v>
      </c>
      <c r="AC238" s="453"/>
      <c r="AD238" s="453">
        <v>1030.5999999999999</v>
      </c>
      <c r="AE238" s="453">
        <v>1275.7</v>
      </c>
      <c r="AF238" s="453">
        <v>0</v>
      </c>
      <c r="AG238" s="622">
        <f t="shared" si="412"/>
        <v>3894</v>
      </c>
    </row>
    <row r="239" spans="1:34">
      <c r="A239" s="216" t="s">
        <v>29</v>
      </c>
      <c r="J239" s="487">
        <f t="shared" si="406"/>
        <v>0</v>
      </c>
      <c r="K239" s="487">
        <f t="shared" si="406"/>
        <v>73.301805686999998</v>
      </c>
      <c r="L239" s="487">
        <f t="shared" si="407"/>
        <v>2.7858985387199997</v>
      </c>
      <c r="M239" s="487">
        <f t="shared" si="408"/>
        <v>81.096302678819995</v>
      </c>
      <c r="N239" s="487">
        <f t="shared" si="409"/>
        <v>330.21066213497994</v>
      </c>
      <c r="O239" s="487">
        <f t="shared" si="410"/>
        <v>0.11177987964</v>
      </c>
      <c r="P239" s="298">
        <f t="shared" si="411"/>
        <v>487.50644891915994</v>
      </c>
      <c r="Q239" s="216" t="s">
        <v>23</v>
      </c>
      <c r="R239" s="317">
        <f t="shared" si="398"/>
        <v>0</v>
      </c>
      <c r="S239" s="317">
        <f t="shared" si="399"/>
        <v>0</v>
      </c>
      <c r="T239" s="317">
        <f t="shared" si="400"/>
        <v>0</v>
      </c>
      <c r="U239" s="317">
        <f t="shared" si="401"/>
        <v>0</v>
      </c>
      <c r="V239" s="317">
        <f t="shared" si="402"/>
        <v>0</v>
      </c>
      <c r="W239" s="317">
        <f t="shared" si="403"/>
        <v>0</v>
      </c>
      <c r="X239" s="316">
        <f t="shared" si="404"/>
        <v>0</v>
      </c>
      <c r="Z239" s="239" t="s">
        <v>29</v>
      </c>
      <c r="AA239" s="453">
        <v>0</v>
      </c>
      <c r="AB239" s="453">
        <v>852.5</v>
      </c>
      <c r="AC239" s="453">
        <v>32.4</v>
      </c>
      <c r="AD239" s="453">
        <v>943.15</v>
      </c>
      <c r="AE239" s="453">
        <v>3840.35</v>
      </c>
      <c r="AF239" s="453">
        <v>1.3</v>
      </c>
      <c r="AG239" s="622">
        <f t="shared" si="412"/>
        <v>5669.7</v>
      </c>
    </row>
    <row r="240" spans="1:34">
      <c r="A240" s="216" t="s">
        <v>388</v>
      </c>
      <c r="J240" s="487">
        <f t="shared" si="406"/>
        <v>0</v>
      </c>
      <c r="K240" s="487">
        <f t="shared" si="406"/>
        <v>1.719690456E-2</v>
      </c>
      <c r="L240" s="487">
        <f t="shared" si="407"/>
        <v>0</v>
      </c>
      <c r="M240" s="487">
        <f t="shared" si="408"/>
        <v>0</v>
      </c>
      <c r="N240" s="487">
        <f t="shared" si="409"/>
        <v>0</v>
      </c>
      <c r="O240" s="487">
        <f t="shared" si="410"/>
        <v>0</v>
      </c>
      <c r="P240" s="220">
        <f t="shared" si="411"/>
        <v>1.719690456E-2</v>
      </c>
      <c r="Q240" s="216" t="str">
        <f>A240</f>
        <v>a celle combustibile (CEC)</v>
      </c>
      <c r="R240" s="317">
        <f t="shared" si="398"/>
        <v>0</v>
      </c>
      <c r="S240" s="317">
        <f t="shared" si="399"/>
        <v>0</v>
      </c>
      <c r="T240" s="317">
        <f t="shared" si="400"/>
        <v>0</v>
      </c>
      <c r="U240" s="317">
        <f t="shared" si="401"/>
        <v>0</v>
      </c>
      <c r="V240" s="317">
        <f t="shared" si="402"/>
        <v>0</v>
      </c>
      <c r="W240" s="317">
        <f t="shared" si="403"/>
        <v>0</v>
      </c>
      <c r="X240" s="316">
        <f t="shared" si="404"/>
        <v>0</v>
      </c>
      <c r="Z240" s="239" t="s">
        <v>388</v>
      </c>
      <c r="AA240" s="453"/>
      <c r="AB240" s="453">
        <v>0.2</v>
      </c>
      <c r="AC240" s="453"/>
      <c r="AD240" s="453">
        <v>0</v>
      </c>
      <c r="AE240" s="453"/>
      <c r="AF240" s="453"/>
      <c r="AG240" s="623">
        <f t="shared" si="412"/>
        <v>0.2</v>
      </c>
      <c r="AH240" s="237"/>
    </row>
    <row r="241" spans="1:34">
      <c r="A241" s="223" t="s">
        <v>277</v>
      </c>
      <c r="J241" s="209">
        <f t="shared" ref="J241:O241" si="413">SUM(J242:J247)</f>
        <v>0</v>
      </c>
      <c r="K241" s="209">
        <f t="shared" si="413"/>
        <v>15857.460000000001</v>
      </c>
      <c r="L241" s="209">
        <f t="shared" si="413"/>
        <v>479.70000000000005</v>
      </c>
      <c r="M241" s="209">
        <f t="shared" si="413"/>
        <v>743.75999999999988</v>
      </c>
      <c r="N241" s="209">
        <f t="shared" si="413"/>
        <v>2816.37</v>
      </c>
      <c r="O241" s="209">
        <f t="shared" si="413"/>
        <v>1323.9</v>
      </c>
      <c r="P241" s="298">
        <f>SUM(J241:O241)</f>
        <v>21221.190000000002</v>
      </c>
      <c r="Q241" s="223" t="s">
        <v>24</v>
      </c>
      <c r="R241" s="316">
        <f t="shared" si="398"/>
        <v>0</v>
      </c>
      <c r="S241" s="316">
        <f t="shared" si="399"/>
        <v>355.60855987416397</v>
      </c>
      <c r="T241" s="316">
        <f t="shared" si="400"/>
        <v>1725.4725695225693</v>
      </c>
      <c r="U241" s="316">
        <f t="shared" si="401"/>
        <v>441.77934007031922</v>
      </c>
      <c r="V241" s="316">
        <f t="shared" si="402"/>
        <v>281.65668024658629</v>
      </c>
      <c r="W241" s="316">
        <f t="shared" si="403"/>
        <v>5.322464156838838</v>
      </c>
      <c r="X241" s="316">
        <f t="shared" si="404"/>
        <v>356.76376864132175</v>
      </c>
      <c r="Z241" s="621" t="s">
        <v>473</v>
      </c>
      <c r="AA241" s="470">
        <f t="shared" ref="AA241:AF241" si="414">SUM(AA242:AA247)</f>
        <v>2E-3</v>
      </c>
      <c r="AB241" s="470">
        <f t="shared" si="414"/>
        <v>35228.74</v>
      </c>
      <c r="AC241" s="470">
        <f t="shared" si="414"/>
        <v>450.99999999999994</v>
      </c>
      <c r="AD241" s="470">
        <f t="shared" si="414"/>
        <v>4415.1100000000006</v>
      </c>
      <c r="AE241" s="470">
        <f t="shared" si="414"/>
        <v>5765.8</v>
      </c>
      <c r="AF241" s="470">
        <f t="shared" si="414"/>
        <v>1329.7</v>
      </c>
      <c r="AG241" s="622">
        <f>SUM(AA241:AF241)</f>
        <v>47190.351999999999</v>
      </c>
      <c r="AH241" s="237"/>
    </row>
    <row r="242" spans="1:34">
      <c r="A242" s="216" t="s">
        <v>25</v>
      </c>
      <c r="J242" s="177"/>
      <c r="K242" s="177">
        <v>2572.4</v>
      </c>
      <c r="L242" s="177">
        <v>34.6</v>
      </c>
      <c r="M242" s="177">
        <v>4.0999999999999996</v>
      </c>
      <c r="N242" s="177">
        <v>452.6</v>
      </c>
      <c r="O242" s="177">
        <v>1315</v>
      </c>
      <c r="P242" s="298">
        <f t="shared" ref="P242:P247" si="415">SUM(J242:O242)</f>
        <v>4378.7</v>
      </c>
      <c r="Q242" s="216" t="s">
        <v>25</v>
      </c>
      <c r="R242" s="317">
        <f t="shared" si="398"/>
        <v>0</v>
      </c>
      <c r="S242" s="317">
        <f t="shared" si="399"/>
        <v>336.10680431675354</v>
      </c>
      <c r="T242" s="317">
        <f t="shared" si="400"/>
        <v>1323.480895871335</v>
      </c>
      <c r="U242" s="317">
        <f t="shared" si="401"/>
        <v>458.50256387516157</v>
      </c>
      <c r="V242" s="317">
        <f t="shared" si="402"/>
        <v>242.09495557925294</v>
      </c>
      <c r="W242" s="317">
        <f t="shared" si="403"/>
        <v>5.3217401353328597</v>
      </c>
      <c r="X242" s="316">
        <f t="shared" si="404"/>
        <v>242.09058099688852</v>
      </c>
      <c r="Z242" s="239" t="s">
        <v>25</v>
      </c>
      <c r="AA242" s="453"/>
      <c r="AB242" s="453">
        <v>8381.2999999999993</v>
      </c>
      <c r="AC242" s="453">
        <v>86.2</v>
      </c>
      <c r="AD242" s="453">
        <v>7.4</v>
      </c>
      <c r="AE242" s="453">
        <v>942.3</v>
      </c>
      <c r="AF242" s="453">
        <v>1314.3</v>
      </c>
      <c r="AG242" s="622">
        <f t="shared" ref="AG242:AG247" si="416">SUM(AA242:AF242)</f>
        <v>10731.499999999998</v>
      </c>
    </row>
    <row r="243" spans="1:34">
      <c r="A243" s="216" t="s">
        <v>26</v>
      </c>
      <c r="J243" s="177"/>
      <c r="K243" s="177">
        <v>1924.54</v>
      </c>
      <c r="L243" s="177"/>
      <c r="M243" s="177">
        <v>88.11</v>
      </c>
      <c r="N243" s="177">
        <v>12.9</v>
      </c>
      <c r="O243" s="177">
        <v>1.2</v>
      </c>
      <c r="P243" s="298">
        <f t="shared" si="415"/>
        <v>2026.75</v>
      </c>
      <c r="Q243" s="216" t="s">
        <v>26</v>
      </c>
      <c r="R243" s="317">
        <f t="shared" si="398"/>
        <v>0</v>
      </c>
      <c r="S243" s="317">
        <f t="shared" si="399"/>
        <v>320.36916630784032</v>
      </c>
      <c r="T243" s="317">
        <f t="shared" si="400"/>
        <v>0</v>
      </c>
      <c r="U243" s="317">
        <f t="shared" si="401"/>
        <v>372.66514736311427</v>
      </c>
      <c r="V243" s="317">
        <f t="shared" si="402"/>
        <v>304.78756408963426</v>
      </c>
      <c r="W243" s="317">
        <f t="shared" si="403"/>
        <v>4.2285755735895121</v>
      </c>
      <c r="X243" s="316">
        <f t="shared" si="404"/>
        <v>321.77237730652558</v>
      </c>
      <c r="Z243" s="239" t="s">
        <v>26</v>
      </c>
      <c r="AA243" s="453"/>
      <c r="AB243" s="453">
        <v>8820.94</v>
      </c>
      <c r="AC243" s="453"/>
      <c r="AD243" s="453">
        <v>340.71</v>
      </c>
      <c r="AE243" s="453">
        <v>58.7</v>
      </c>
      <c r="AF243" s="453">
        <v>4.8</v>
      </c>
      <c r="AG243" s="622">
        <f t="shared" si="416"/>
        <v>9225.15</v>
      </c>
      <c r="AH243" s="240"/>
    </row>
    <row r="244" spans="1:34">
      <c r="A244" s="216" t="s">
        <v>27</v>
      </c>
      <c r="J244" s="177"/>
      <c r="K244" s="177">
        <v>10877.3</v>
      </c>
      <c r="L244" s="177">
        <v>230.2</v>
      </c>
      <c r="M244" s="177">
        <v>416.4</v>
      </c>
      <c r="N244" s="177">
        <v>642.29999999999995</v>
      </c>
      <c r="O244" s="177">
        <v>7.4</v>
      </c>
      <c r="P244" s="298">
        <f t="shared" si="415"/>
        <v>12173.599999999999</v>
      </c>
      <c r="Q244" s="216" t="s">
        <v>27</v>
      </c>
      <c r="R244" s="317">
        <f t="shared" si="398"/>
        <v>0</v>
      </c>
      <c r="S244" s="317">
        <f t="shared" si="399"/>
        <v>362.1411868965543</v>
      </c>
      <c r="T244" s="317">
        <f t="shared" si="400"/>
        <v>1597.0353753773152</v>
      </c>
      <c r="U244" s="317">
        <f t="shared" si="401"/>
        <v>467.43078000704526</v>
      </c>
      <c r="V244" s="317">
        <f t="shared" si="402"/>
        <v>184.67310945538415</v>
      </c>
      <c r="W244" s="317">
        <f t="shared" si="403"/>
        <v>5.5525591444353903</v>
      </c>
      <c r="X244" s="316">
        <f t="shared" si="404"/>
        <v>371.97930531385703</v>
      </c>
      <c r="Z244" s="239" t="s">
        <v>27</v>
      </c>
      <c r="AA244" s="453"/>
      <c r="AB244" s="453">
        <v>15686</v>
      </c>
      <c r="AC244" s="453">
        <v>332.4</v>
      </c>
      <c r="AD244" s="453">
        <v>2133.9</v>
      </c>
      <c r="AE244" s="453">
        <v>1460.5</v>
      </c>
      <c r="AF244" s="453">
        <v>10.199999999999999</v>
      </c>
      <c r="AG244" s="622">
        <f t="shared" si="416"/>
        <v>19623</v>
      </c>
      <c r="AH244" s="237"/>
    </row>
    <row r="245" spans="1:34">
      <c r="A245" s="216" t="s">
        <v>28</v>
      </c>
      <c r="J245" s="177">
        <v>0</v>
      </c>
      <c r="K245" s="177">
        <v>217.87</v>
      </c>
      <c r="L245" s="177"/>
      <c r="M245" s="177">
        <v>118.5</v>
      </c>
      <c r="N245" s="177">
        <v>208.57</v>
      </c>
      <c r="O245" s="177">
        <v>0</v>
      </c>
      <c r="P245" s="298">
        <f t="shared" si="415"/>
        <v>544.94000000000005</v>
      </c>
      <c r="Q245" s="216" t="s">
        <v>28</v>
      </c>
      <c r="R245" s="317">
        <f t="shared" si="398"/>
        <v>0</v>
      </c>
      <c r="S245" s="317">
        <f t="shared" si="399"/>
        <v>296.79196140972863</v>
      </c>
      <c r="T245" s="317">
        <f t="shared" si="400"/>
        <v>0</v>
      </c>
      <c r="U245" s="317">
        <f t="shared" si="401"/>
        <v>335.26506088939675</v>
      </c>
      <c r="V245" s="317">
        <f t="shared" si="402"/>
        <v>187.22664651220387</v>
      </c>
      <c r="W245" s="317">
        <f t="shared" si="403"/>
        <v>0</v>
      </c>
      <c r="X245" s="316">
        <f t="shared" si="404"/>
        <v>250.9005945969366</v>
      </c>
      <c r="Z245" s="239" t="s">
        <v>28</v>
      </c>
      <c r="AA245" s="453">
        <v>1E-3</v>
      </c>
      <c r="AB245" s="453">
        <v>1527.9</v>
      </c>
      <c r="AC245" s="453"/>
      <c r="AD245" s="453">
        <v>1025</v>
      </c>
      <c r="AE245" s="453">
        <v>1059.8</v>
      </c>
      <c r="AF245" s="453">
        <v>0</v>
      </c>
      <c r="AG245" s="622">
        <f t="shared" si="416"/>
        <v>3612.701</v>
      </c>
      <c r="AH245" s="237"/>
    </row>
    <row r="246" spans="1:34">
      <c r="A246" s="216" t="s">
        <v>29</v>
      </c>
      <c r="J246" s="177">
        <v>0</v>
      </c>
      <c r="K246" s="177">
        <v>265.25</v>
      </c>
      <c r="L246" s="177">
        <v>214.9</v>
      </c>
      <c r="M246" s="177">
        <v>116.65</v>
      </c>
      <c r="N246" s="177">
        <v>1500</v>
      </c>
      <c r="O246" s="177">
        <v>0.3</v>
      </c>
      <c r="P246" s="298">
        <f t="shared" si="415"/>
        <v>2097.1000000000004</v>
      </c>
      <c r="Q246" s="216" t="s">
        <v>29</v>
      </c>
      <c r="R246" s="317">
        <f t="shared" si="398"/>
        <v>0</v>
      </c>
      <c r="S246" s="317">
        <f t="shared" si="399"/>
        <v>526.77209156972128</v>
      </c>
      <c r="T246" s="317">
        <f t="shared" si="400"/>
        <v>1945.1956220212899</v>
      </c>
      <c r="U246" s="317">
        <f t="shared" si="401"/>
        <v>463.98603520025546</v>
      </c>
      <c r="V246" s="317">
        <f t="shared" si="402"/>
        <v>400.67615433867172</v>
      </c>
      <c r="W246" s="317">
        <f t="shared" si="403"/>
        <v>7.2629136653007187</v>
      </c>
      <c r="X246" s="316">
        <f t="shared" si="404"/>
        <v>645.26604526879953</v>
      </c>
      <c r="Z246" s="239" t="s">
        <v>29</v>
      </c>
      <c r="AA246" s="453">
        <v>1E-3</v>
      </c>
      <c r="AB246" s="453">
        <v>812.6</v>
      </c>
      <c r="AC246" s="453">
        <v>32.4</v>
      </c>
      <c r="AD246" s="453">
        <v>908.1</v>
      </c>
      <c r="AE246" s="453">
        <v>2244.5</v>
      </c>
      <c r="AF246" s="453">
        <v>0.4</v>
      </c>
      <c r="AG246" s="622">
        <f t="shared" si="416"/>
        <v>3998.0010000000002</v>
      </c>
      <c r="AH246" s="237"/>
    </row>
    <row r="247" spans="1:34">
      <c r="A247" s="216" t="s">
        <v>388</v>
      </c>
      <c r="K247">
        <v>0.1</v>
      </c>
      <c r="M247" s="177"/>
      <c r="P247" s="298">
        <f t="shared" si="415"/>
        <v>0.1</v>
      </c>
      <c r="Q247" s="216" t="str">
        <f>A247</f>
        <v>a celle combustibile (CEC)</v>
      </c>
      <c r="R247" s="317">
        <f t="shared" si="398"/>
        <v>0</v>
      </c>
      <c r="S247" s="317">
        <f t="shared" si="399"/>
        <v>429.01152237680657</v>
      </c>
      <c r="T247" s="317">
        <f t="shared" si="400"/>
        <v>0</v>
      </c>
      <c r="U247" s="317">
        <f t="shared" si="401"/>
        <v>0</v>
      </c>
      <c r="V247" s="317">
        <f t="shared" si="402"/>
        <v>0</v>
      </c>
      <c r="W247" s="317">
        <f t="shared" si="403"/>
        <v>0</v>
      </c>
      <c r="X247" s="316">
        <f t="shared" si="404"/>
        <v>413.83748139241789</v>
      </c>
      <c r="Z247" s="239" t="s">
        <v>388</v>
      </c>
      <c r="AA247" s="453"/>
      <c r="AB247" s="453">
        <v>0</v>
      </c>
      <c r="AC247" s="453"/>
      <c r="AD247" s="453">
        <v>0</v>
      </c>
      <c r="AE247" s="453"/>
      <c r="AF247" s="453">
        <v>0</v>
      </c>
      <c r="AG247" s="622">
        <f t="shared" si="416"/>
        <v>0</v>
      </c>
      <c r="AH247" s="456"/>
    </row>
    <row r="248" spans="1:34">
      <c r="Q248" s="223" t="s">
        <v>10</v>
      </c>
      <c r="R248" s="316">
        <f t="shared" ref="R248:X248" si="417">R223/J204*1000000</f>
        <v>934.7730459668669</v>
      </c>
      <c r="S248" s="316">
        <f t="shared" si="417"/>
        <v>372.62501692124135</v>
      </c>
      <c r="T248" s="316">
        <f t="shared" si="417"/>
        <v>1724.3436998301402</v>
      </c>
      <c r="U248" s="316">
        <f t="shared" si="417"/>
        <v>589.96170462468172</v>
      </c>
      <c r="V248" s="316">
        <f t="shared" si="417"/>
        <v>321.22049442858616</v>
      </c>
      <c r="W248" s="316">
        <f t="shared" si="417"/>
        <v>5.8501186972239587</v>
      </c>
      <c r="X248" s="225">
        <f t="shared" si="417"/>
        <v>412.11401076770403</v>
      </c>
      <c r="AA248" s="216"/>
      <c r="AB248" s="237"/>
      <c r="AC248" s="237"/>
      <c r="AD248" s="451"/>
      <c r="AE248" s="216"/>
      <c r="AF248" s="215"/>
      <c r="AG248" s="237"/>
      <c r="AH248" s="456"/>
    </row>
    <row r="249" spans="1:34">
      <c r="J249" s="90" t="str">
        <f t="shared" ref="J249:O250" si="418">IFERROR((J197/11.63+J234)/J241,"")</f>
        <v/>
      </c>
      <c r="K249" s="90">
        <f t="shared" si="418"/>
        <v>0.66686597453031327</v>
      </c>
      <c r="L249" s="90">
        <f t="shared" si="418"/>
        <v>0.42592183314531351</v>
      </c>
      <c r="M249" s="90">
        <f t="shared" si="418"/>
        <v>0.77599251462005037</v>
      </c>
      <c r="N249" s="90">
        <f t="shared" si="418"/>
        <v>0.55506189647711623</v>
      </c>
      <c r="O249" s="90">
        <f t="shared" si="418"/>
        <v>0.58558012473212329</v>
      </c>
      <c r="P249" s="301">
        <f>P241-('5-x'!$AA$82+'5-x'!$AA$84)</f>
        <v>0</v>
      </c>
      <c r="R249" s="361">
        <f>'12'!AG6</f>
        <v>934.77312959760673</v>
      </c>
      <c r="S249" s="361">
        <f>'12'!AG7</f>
        <v>372.62496473739247</v>
      </c>
      <c r="T249" s="234"/>
      <c r="U249" s="234"/>
      <c r="V249" s="234"/>
      <c r="W249" s="234"/>
      <c r="X249" s="226">
        <f>'12'!AG11</f>
        <v>410.85624873584749</v>
      </c>
      <c r="Z249" s="621" t="s">
        <v>474</v>
      </c>
      <c r="AA249" s="625" t="str">
        <f t="shared" ref="AA249:AG249" si="419">IFERROR(AA241/AA234,"")</f>
        <v/>
      </c>
      <c r="AB249" s="625">
        <f t="shared" si="419"/>
        <v>0.87410719026642003</v>
      </c>
      <c r="AC249" s="625">
        <f t="shared" si="419"/>
        <v>0.99208095028596555</v>
      </c>
      <c r="AD249" s="625">
        <f t="shared" si="419"/>
        <v>0.90919593250495256</v>
      </c>
      <c r="AE249" s="625">
        <f t="shared" si="419"/>
        <v>0.66403699203611677</v>
      </c>
      <c r="AF249" s="625">
        <f t="shared" si="419"/>
        <v>0.39282127031019198</v>
      </c>
      <c r="AG249" s="625">
        <f t="shared" si="419"/>
        <v>0.81812432657809364</v>
      </c>
      <c r="AH249" s="240"/>
    </row>
    <row r="250" spans="1:34">
      <c r="J250" s="90" t="str">
        <f t="shared" si="418"/>
        <v/>
      </c>
      <c r="K250" s="90">
        <f>IFERROR((K198/11.63+K235)/K242,"")</f>
        <v>0.72677879734600803</v>
      </c>
      <c r="L250" s="90">
        <f>IFERROR((L198/11.63+L235)/L242,"")</f>
        <v>0.59145423191537827</v>
      </c>
      <c r="M250" s="90">
        <f>IFERROR((M198/11.63+M235)/M242,"")</f>
        <v>0.70465365021216786</v>
      </c>
      <c r="N250" s="90">
        <f>IFERROR((N198/11.63+N235)/N242,"")</f>
        <v>0.65951610819710804</v>
      </c>
      <c r="O250" s="90">
        <f>IFERROR((O198/11.63+O235)/O242,"")</f>
        <v>0.58564614266575543</v>
      </c>
      <c r="P250" s="305">
        <f>(P216/41.868)-'5-x'!$AA$82</f>
        <v>0</v>
      </c>
      <c r="R250" s="202">
        <f>R248-R249</f>
        <v>-8.3630739823092881E-5</v>
      </c>
      <c r="S250" s="202">
        <f>S248-S249</f>
        <v>5.2183848879394645E-5</v>
      </c>
      <c r="T250" s="202"/>
      <c r="U250" s="202"/>
      <c r="V250" s="202"/>
      <c r="W250" s="202"/>
      <c r="X250" s="227">
        <f>X248-X249</f>
        <v>1.2577620318565437</v>
      </c>
      <c r="Z250" s="239" t="s">
        <v>25</v>
      </c>
      <c r="AA250" s="626" t="str">
        <f>IFERROR(AA242/AA235,"")</f>
        <v/>
      </c>
      <c r="AB250" s="626">
        <f t="shared" ref="AB250:AG250" si="420">IFERROR(AB242/AB235,"")</f>
        <v>0.88903621359017326</v>
      </c>
      <c r="AC250" s="626">
        <f t="shared" si="420"/>
        <v>0.989667049368542</v>
      </c>
      <c r="AD250" s="626">
        <f t="shared" si="420"/>
        <v>0.39572192513368987</v>
      </c>
      <c r="AE250" s="626">
        <f t="shared" si="420"/>
        <v>0.46938978829389788</v>
      </c>
      <c r="AF250" s="626">
        <f t="shared" si="420"/>
        <v>0.3907652970208717</v>
      </c>
      <c r="AG250" s="625">
        <f t="shared" si="420"/>
        <v>0.72003676840600894</v>
      </c>
      <c r="AH250" s="237"/>
    </row>
    <row r="251" spans="1:34">
      <c r="J251" s="90" t="str">
        <f t="shared" ref="J251:O251" si="421">IFERROR((J199/11.63+J236)/J243,"")</f>
        <v/>
      </c>
      <c r="K251" s="90">
        <f t="shared" si="421"/>
        <v>0.76157962726102935</v>
      </c>
      <c r="L251" s="90" t="str">
        <f t="shared" si="421"/>
        <v/>
      </c>
      <c r="M251" s="90">
        <f t="shared" si="421"/>
        <v>0.82063448994948451</v>
      </c>
      <c r="N251" s="90">
        <f t="shared" si="421"/>
        <v>0.70987222309376041</v>
      </c>
      <c r="O251" s="90">
        <f t="shared" si="421"/>
        <v>0.72370306684476926</v>
      </c>
      <c r="P251" s="305">
        <f>(P209/41.868)-'5-x'!$AA$83</f>
        <v>0</v>
      </c>
      <c r="Z251" s="239" t="s">
        <v>26</v>
      </c>
      <c r="AA251" s="626" t="str">
        <f t="shared" ref="AA251:AG255" si="422">IFERROR(AA243/AA236,"")</f>
        <v/>
      </c>
      <c r="AB251" s="626">
        <f t="shared" si="422"/>
        <v>0.94974019513896824</v>
      </c>
      <c r="AC251" s="626" t="str">
        <f t="shared" si="422"/>
        <v/>
      </c>
      <c r="AD251" s="626">
        <f t="shared" si="422"/>
        <v>0.57668285912560724</v>
      </c>
      <c r="AE251" s="626">
        <f t="shared" si="422"/>
        <v>0.68335273573923161</v>
      </c>
      <c r="AF251" s="626">
        <f t="shared" si="422"/>
        <v>0.88888888888888884</v>
      </c>
      <c r="AG251" s="625">
        <f t="shared" si="422"/>
        <v>0.92530479395377074</v>
      </c>
      <c r="AH251" s="237"/>
    </row>
    <row r="252" spans="1:34">
      <c r="J252" s="90" t="str">
        <f t="shared" ref="J252:O252" si="423">IFERROR((J200/11.63+J237)/J244,"")</f>
        <v/>
      </c>
      <c r="K252" s="90">
        <f t="shared" si="423"/>
        <v>0.63515371681536259</v>
      </c>
      <c r="L252" s="90">
        <f t="shared" si="423"/>
        <v>0.47748677177606841</v>
      </c>
      <c r="M252" s="90">
        <f t="shared" si="423"/>
        <v>0.72688309003528151</v>
      </c>
      <c r="N252" s="90">
        <f t="shared" si="423"/>
        <v>0.66939145103154707</v>
      </c>
      <c r="O252" s="90">
        <f t="shared" si="423"/>
        <v>0.54960377405177196</v>
      </c>
      <c r="Z252" s="239" t="s">
        <v>27</v>
      </c>
      <c r="AA252" s="626" t="str">
        <f t="shared" si="422"/>
        <v/>
      </c>
      <c r="AB252" s="626">
        <f t="shared" si="422"/>
        <v>0.81924061210633514</v>
      </c>
      <c r="AC252" s="626">
        <f t="shared" si="422"/>
        <v>0.99194270367054593</v>
      </c>
      <c r="AD252" s="626">
        <f t="shared" si="422"/>
        <v>0.93888595564941923</v>
      </c>
      <c r="AE252" s="626">
        <f t="shared" si="422"/>
        <v>0.99117746861214795</v>
      </c>
      <c r="AF252" s="626">
        <f t="shared" si="422"/>
        <v>0.68456375838926165</v>
      </c>
      <c r="AG252" s="625">
        <f t="shared" si="422"/>
        <v>0.8442432873129031</v>
      </c>
      <c r="AH252" s="237"/>
    </row>
    <row r="253" spans="1:34">
      <c r="J253" s="90" t="str">
        <f t="shared" ref="J253:O253" si="424">IFERROR((J201/11.63+J238)/J245,"")</f>
        <v/>
      </c>
      <c r="K253" s="90">
        <f t="shared" si="424"/>
        <v>0.84427590027136512</v>
      </c>
      <c r="L253" s="90" t="str">
        <f t="shared" si="424"/>
        <v/>
      </c>
      <c r="M253" s="90">
        <f t="shared" si="424"/>
        <v>0.87515555229202679</v>
      </c>
      <c r="N253" s="90">
        <f t="shared" si="424"/>
        <v>0.78563889864830072</v>
      </c>
      <c r="O253" s="90" t="str">
        <f t="shared" si="424"/>
        <v/>
      </c>
      <c r="Z253" s="239" t="s">
        <v>28</v>
      </c>
      <c r="AA253" s="626" t="str">
        <f t="shared" si="422"/>
        <v/>
      </c>
      <c r="AB253" s="626">
        <f t="shared" si="422"/>
        <v>0.96233545380109597</v>
      </c>
      <c r="AC253" s="626" t="str">
        <f t="shared" si="422"/>
        <v/>
      </c>
      <c r="AD253" s="626">
        <f t="shared" si="422"/>
        <v>0.99456627207451975</v>
      </c>
      <c r="AE253" s="626">
        <f t="shared" si="422"/>
        <v>0.83075958297405339</v>
      </c>
      <c r="AF253" s="626" t="str">
        <f t="shared" si="422"/>
        <v/>
      </c>
      <c r="AG253" s="625">
        <f t="shared" si="422"/>
        <v>0.9277609142270159</v>
      </c>
      <c r="AH253" s="237"/>
    </row>
    <row r="254" spans="1:34">
      <c r="J254" s="90" t="str">
        <f t="shared" ref="J254:O254" si="425">IFERROR((J202/11.63+J239)/J246,"")</f>
        <v/>
      </c>
      <c r="K254" s="90">
        <f t="shared" si="425"/>
        <v>0.55344533747176661</v>
      </c>
      <c r="L254" s="90">
        <f t="shared" si="425"/>
        <v>0.34403411853273103</v>
      </c>
      <c r="M254" s="90">
        <f t="shared" si="425"/>
        <v>0.81934073138418617</v>
      </c>
      <c r="N254" s="90">
        <f t="shared" si="425"/>
        <v>0.4411963313631308</v>
      </c>
      <c r="O254" s="90">
        <f t="shared" si="425"/>
        <v>0.63055316715769572</v>
      </c>
      <c r="Z254" s="239" t="s">
        <v>29</v>
      </c>
      <c r="AA254" s="626" t="str">
        <f t="shared" si="422"/>
        <v/>
      </c>
      <c r="AB254" s="626">
        <f t="shared" si="422"/>
        <v>0.95319648093841647</v>
      </c>
      <c r="AC254" s="626">
        <f t="shared" si="422"/>
        <v>1</v>
      </c>
      <c r="AD254" s="626">
        <f t="shared" si="422"/>
        <v>0.96283730053543981</v>
      </c>
      <c r="AE254" s="626">
        <f t="shared" si="422"/>
        <v>0.58445193797440342</v>
      </c>
      <c r="AF254" s="626">
        <f t="shared" si="422"/>
        <v>0.30769230769230771</v>
      </c>
      <c r="AG254" s="625">
        <f t="shared" si="422"/>
        <v>0.70515212445102926</v>
      </c>
    </row>
    <row r="255" spans="1:34">
      <c r="J255" s="90" t="str">
        <f t="shared" ref="J255:O255" si="426">IFERROR((J203/11.63+J240)/J247,"")</f>
        <v/>
      </c>
      <c r="K255" s="90">
        <f t="shared" si="426"/>
        <v>0.4299226139576956</v>
      </c>
      <c r="L255" s="90" t="str">
        <f t="shared" si="426"/>
        <v/>
      </c>
      <c r="M255" s="90" t="str">
        <f t="shared" si="426"/>
        <v/>
      </c>
      <c r="N255" s="90" t="str">
        <f t="shared" si="426"/>
        <v/>
      </c>
      <c r="O255" s="90" t="str">
        <f t="shared" si="426"/>
        <v/>
      </c>
      <c r="Z255" s="239" t="s">
        <v>388</v>
      </c>
      <c r="AA255" s="626" t="str">
        <f t="shared" si="422"/>
        <v/>
      </c>
      <c r="AB255" s="626">
        <f t="shared" si="422"/>
        <v>0</v>
      </c>
      <c r="AC255" s="626" t="str">
        <f t="shared" si="422"/>
        <v/>
      </c>
      <c r="AD255" s="626" t="str">
        <f t="shared" si="422"/>
        <v/>
      </c>
      <c r="AE255" s="626" t="str">
        <f t="shared" si="422"/>
        <v/>
      </c>
      <c r="AF255" s="626">
        <v>0</v>
      </c>
      <c r="AG255" s="625">
        <f t="shared" si="422"/>
        <v>0</v>
      </c>
    </row>
    <row r="256" spans="1:34">
      <c r="A256" s="68" t="str">
        <f>$A$188</f>
        <v>Dati 2021 lorda</v>
      </c>
    </row>
    <row r="257" spans="1:34">
      <c r="A257" s="68" t="s">
        <v>281</v>
      </c>
      <c r="B257" s="68"/>
      <c r="C257" s="68"/>
      <c r="D257" s="68"/>
      <c r="E257" s="68"/>
      <c r="J257" s="479">
        <v>0</v>
      </c>
      <c r="K257" s="479">
        <v>9.4402680476391936</v>
      </c>
      <c r="L257" s="479">
        <v>0.29287411443979705</v>
      </c>
      <c r="M257" s="658">
        <v>1.1611955808032142</v>
      </c>
      <c r="N257" s="657">
        <v>1.431007186798297</v>
      </c>
      <c r="O257" s="657">
        <v>9.6384329813133107E-4</v>
      </c>
      <c r="P257" s="480">
        <f>SUM(J257:O257)</f>
        <v>12.326308772978633</v>
      </c>
      <c r="Q257" t="s">
        <v>402</v>
      </c>
    </row>
    <row r="258" spans="1:34">
      <c r="A258" t="s">
        <v>282</v>
      </c>
      <c r="J258" s="211" t="str">
        <f>IFERROR(J257/(J234*11.63)*1000000,"")</f>
        <v/>
      </c>
      <c r="K258" s="211">
        <f t="shared" ref="K258:P258" si="427">IFERROR(K257/(K234*11.63)*1000000,"")</f>
        <v>234.23506424386622</v>
      </c>
      <c r="L258" s="211">
        <f t="shared" si="427"/>
        <v>644.24574217282384</v>
      </c>
      <c r="M258" s="211">
        <f t="shared" si="427"/>
        <v>239.12298872188111</v>
      </c>
      <c r="N258" s="211">
        <f t="shared" si="427"/>
        <v>164.80656764850795</v>
      </c>
      <c r="O258" s="211">
        <f t="shared" si="427"/>
        <v>0.28473952672769887</v>
      </c>
      <c r="P258" s="211">
        <f t="shared" si="427"/>
        <v>213.69734776364754</v>
      </c>
    </row>
    <row r="260" spans="1:34">
      <c r="A260" s="68" t="s">
        <v>283</v>
      </c>
      <c r="J260" s="304">
        <f t="shared" ref="J260:P260" si="428">J257+R216</f>
        <v>0</v>
      </c>
      <c r="K260" s="304">
        <f t="shared" si="428"/>
        <v>38.842833682493172</v>
      </c>
      <c r="L260" s="304">
        <f t="shared" si="428"/>
        <v>3.6085076945829759</v>
      </c>
      <c r="M260" s="304">
        <f t="shared" si="428"/>
        <v>1.9812352274285421</v>
      </c>
      <c r="N260" s="304">
        <f t="shared" si="428"/>
        <v>4.1061147381771139</v>
      </c>
      <c r="O260" s="304">
        <f t="shared" si="428"/>
        <v>3.0935447979842663E-2</v>
      </c>
      <c r="P260" s="304">
        <f t="shared" si="428"/>
        <v>48.569626790661644</v>
      </c>
    </row>
    <row r="261" spans="1:34">
      <c r="A261" t="s">
        <v>284</v>
      </c>
      <c r="J261" s="90">
        <f>IFERROR(J260/((J234*11.63)+J197)*1000000,"")</f>
        <v>0</v>
      </c>
      <c r="K261" s="211">
        <f t="shared" ref="K261:P261" si="429">K260/((K234*11.63)+K197)*1000000</f>
        <v>315.83409187130189</v>
      </c>
      <c r="L261" s="211">
        <f t="shared" si="429"/>
        <v>1518.6171478885256</v>
      </c>
      <c r="M261" s="211">
        <f t="shared" si="429"/>
        <v>295.16575994944697</v>
      </c>
      <c r="N261" s="211">
        <f t="shared" si="429"/>
        <v>225.85007614419365</v>
      </c>
      <c r="O261" s="211">
        <f t="shared" si="429"/>
        <v>3.4311142911008949</v>
      </c>
      <c r="P261" s="211">
        <f t="shared" si="429"/>
        <v>304.95098788917056</v>
      </c>
    </row>
    <row r="262" spans="1:34">
      <c r="J262" s="211" t="str">
        <f>IFERROR((J$534*J233*11.63/1000000+R215)/(J233*11.63+J196)*1000000,"")</f>
        <v/>
      </c>
      <c r="K262" s="198"/>
      <c r="L262" s="198"/>
      <c r="M262" s="198"/>
      <c r="N262" s="198"/>
      <c r="O262" s="198"/>
      <c r="P262" s="198"/>
    </row>
    <row r="263" spans="1:34">
      <c r="A263" t="s">
        <v>285</v>
      </c>
      <c r="J263" s="298" t="str">
        <f t="shared" ref="J263:P263" si="430">IFERROR((J258*J234*11.63/1000000+R216)/(J234*11.63+J197)*1000000,"")</f>
        <v/>
      </c>
      <c r="K263" s="298">
        <f t="shared" si="430"/>
        <v>315.83409187130189</v>
      </c>
      <c r="L263" s="298">
        <f t="shared" si="430"/>
        <v>1518.6171478885256</v>
      </c>
      <c r="M263" s="298">
        <f t="shared" si="430"/>
        <v>295.16575994944697</v>
      </c>
      <c r="N263" s="298">
        <f t="shared" si="430"/>
        <v>225.85007614419371</v>
      </c>
      <c r="O263" s="298">
        <f t="shared" si="430"/>
        <v>3.4311142911008949</v>
      </c>
      <c r="P263" s="298">
        <f t="shared" si="430"/>
        <v>304.95098788917056</v>
      </c>
      <c r="R263" s="285" t="str">
        <f t="shared" ref="R263:R269" si="431">IFERROR(J263/R241-1,"")</f>
        <v/>
      </c>
      <c r="S263" s="285">
        <f t="shared" ref="S263:S269" si="432">IFERROR(K263/S241-1,"")</f>
        <v>-0.11184901740536479</v>
      </c>
      <c r="T263" s="285">
        <f t="shared" ref="T263:T269" si="433">IFERROR(L263/T241-1,"")</f>
        <v>-0.11988334401124656</v>
      </c>
      <c r="U263" s="285">
        <f t="shared" ref="U263:U269" si="434">IFERROR(M263/U241-1,"")</f>
        <v>-0.33187061236846294</v>
      </c>
      <c r="V263" s="285">
        <f t="shared" ref="V263:V269" si="435">IFERROR(N263/V241-1,"")</f>
        <v>-0.19813698028938886</v>
      </c>
      <c r="W263" s="285">
        <f t="shared" ref="W263:W269" si="436">IFERROR(O263/W241-1,"")</f>
        <v>-0.3553522973579345</v>
      </c>
      <c r="X263" s="285">
        <f t="shared" ref="X263:X269" si="437">IFERROR(P263/X241-1,"")</f>
        <v>-0.14522994010706847</v>
      </c>
      <c r="AE263" s="216"/>
      <c r="AF263" s="215"/>
      <c r="AG263" s="237"/>
      <c r="AH263" s="237"/>
    </row>
    <row r="264" spans="1:34">
      <c r="A264" s="216" t="s">
        <v>25</v>
      </c>
      <c r="J264" s="211" t="str">
        <f t="shared" ref="J264:P264" si="438">IFERROR((J258*J235*11.63/1000000+R217)/(J235*11.63+J198)*1000000,"")</f>
        <v/>
      </c>
      <c r="K264" s="211">
        <f t="shared" si="438"/>
        <v>291.93702857451171</v>
      </c>
      <c r="L264" s="211">
        <f t="shared" si="438"/>
        <v>1074.90366102557</v>
      </c>
      <c r="M264" s="211">
        <f t="shared" si="438"/>
        <v>336.40738364704561</v>
      </c>
      <c r="N264" s="211">
        <f t="shared" si="438"/>
        <v>197.40086227669335</v>
      </c>
      <c r="O264" s="211">
        <f t="shared" si="438"/>
        <v>3.4302252273920075</v>
      </c>
      <c r="P264" s="211">
        <f t="shared" si="438"/>
        <v>229.80422302426274</v>
      </c>
      <c r="R264" s="284" t="str">
        <f t="shared" si="431"/>
        <v/>
      </c>
      <c r="S264" s="284">
        <f t="shared" si="432"/>
        <v>-0.13141589273097665</v>
      </c>
      <c r="T264" s="284">
        <f t="shared" si="433"/>
        <v>-0.18782079561647924</v>
      </c>
      <c r="U264" s="284">
        <f t="shared" si="434"/>
        <v>-0.26629116137583764</v>
      </c>
      <c r="V264" s="284">
        <f t="shared" si="435"/>
        <v>-0.18461389745036794</v>
      </c>
      <c r="W264" s="284">
        <f t="shared" si="436"/>
        <v>-0.35543165578161839</v>
      </c>
      <c r="X264" s="284">
        <f t="shared" si="437"/>
        <v>-5.0751078055298993E-2</v>
      </c>
    </row>
    <row r="265" spans="1:34">
      <c r="A265" s="216" t="s">
        <v>26</v>
      </c>
      <c r="J265" s="211" t="str">
        <f t="shared" ref="J265:P265" si="439">IFERROR((J258*J236*11.63/1000000+R218)/(J236*11.63+J199)*1000000,"")</f>
        <v/>
      </c>
      <c r="K265" s="211">
        <f t="shared" si="439"/>
        <v>273.43779919586621</v>
      </c>
      <c r="L265" s="211" t="str">
        <f t="shared" si="439"/>
        <v/>
      </c>
      <c r="M265" s="211">
        <f t="shared" si="439"/>
        <v>278.84166504532493</v>
      </c>
      <c r="N265" s="211">
        <f t="shared" si="439"/>
        <v>191.88270404574519</v>
      </c>
      <c r="O265" s="211">
        <f t="shared" si="439"/>
        <v>2.1199899642153452</v>
      </c>
      <c r="P265" s="211">
        <f t="shared" si="439"/>
        <v>261.92335720671633</v>
      </c>
      <c r="R265" s="284" t="str">
        <f t="shared" si="431"/>
        <v/>
      </c>
      <c r="S265" s="284">
        <f t="shared" si="432"/>
        <v>-0.14649152305399493</v>
      </c>
      <c r="T265" s="284" t="str">
        <f t="shared" si="433"/>
        <v/>
      </c>
      <c r="U265" s="284">
        <f t="shared" si="434"/>
        <v>-0.25176350131387637</v>
      </c>
      <c r="V265" s="284">
        <f t="shared" si="435"/>
        <v>-0.37043788312401471</v>
      </c>
      <c r="W265" s="284">
        <f t="shared" si="436"/>
        <v>-0.49865151341832381</v>
      </c>
      <c r="X265" s="284">
        <f t="shared" si="437"/>
        <v>-0.18599800455461757</v>
      </c>
    </row>
    <row r="266" spans="1:34">
      <c r="A266" s="216" t="s">
        <v>27</v>
      </c>
      <c r="J266" s="211" t="str">
        <f t="shared" ref="J266:P266" si="440">IFERROR((J258*J237*11.63/1000000+R219)/(J237*11.63+J200)*1000000,"")</f>
        <v/>
      </c>
      <c r="K266" s="211">
        <f t="shared" si="440"/>
        <v>331.66136632990094</v>
      </c>
      <c r="L266" s="211">
        <f t="shared" si="440"/>
        <v>1347.2741177107625</v>
      </c>
      <c r="M266" s="211">
        <f t="shared" si="440"/>
        <v>320.0207780005469</v>
      </c>
      <c r="N266" s="211">
        <f t="shared" si="440"/>
        <v>178.81881425911305</v>
      </c>
      <c r="O266" s="211">
        <f t="shared" si="440"/>
        <v>3.8931402794742462</v>
      </c>
      <c r="P266" s="211">
        <f t="shared" si="440"/>
        <v>331.18991903502319</v>
      </c>
      <c r="R266" s="284" t="str">
        <f t="shared" si="431"/>
        <v/>
      </c>
      <c r="S266" s="284">
        <f t="shared" si="432"/>
        <v>-8.416557317839668E-2</v>
      </c>
      <c r="T266" s="284">
        <f t="shared" si="433"/>
        <v>-0.1563905606083047</v>
      </c>
      <c r="U266" s="284">
        <f t="shared" si="434"/>
        <v>-0.3153622061522704</v>
      </c>
      <c r="V266" s="284">
        <f t="shared" si="435"/>
        <v>-3.1700853543517371E-2</v>
      </c>
      <c r="W266" s="284">
        <f t="shared" si="436"/>
        <v>-0.29885658518814051</v>
      </c>
      <c r="X266" s="284">
        <f t="shared" si="437"/>
        <v>-0.10965498804945029</v>
      </c>
    </row>
    <row r="267" spans="1:34">
      <c r="A267" s="216" t="s">
        <v>28</v>
      </c>
      <c r="J267" s="211"/>
      <c r="K267" s="211">
        <f t="shared" ref="K267:P267" si="441">IFERROR((K258*K238*11.63/1000000+S220)/(K238*11.63+K201)*1000000,"")</f>
        <v>250.36373393073393</v>
      </c>
      <c r="L267" s="211" t="str">
        <f t="shared" si="441"/>
        <v/>
      </c>
      <c r="M267" s="211">
        <f t="shared" si="441"/>
        <v>253.11265264944473</v>
      </c>
      <c r="N267" s="211">
        <f t="shared" si="441"/>
        <v>172.2183584249039</v>
      </c>
      <c r="O267" s="211">
        <f t="shared" si="441"/>
        <v>0</v>
      </c>
      <c r="P267" s="211">
        <f t="shared" si="441"/>
        <v>223.3119904700815</v>
      </c>
      <c r="R267" s="284" t="str">
        <f t="shared" si="431"/>
        <v/>
      </c>
      <c r="S267" s="284">
        <f t="shared" si="432"/>
        <v>-0.15643357474530584</v>
      </c>
      <c r="T267" s="284" t="str">
        <f t="shared" si="433"/>
        <v/>
      </c>
      <c r="U267" s="284">
        <f t="shared" si="434"/>
        <v>-0.24503718944651354</v>
      </c>
      <c r="V267" s="284">
        <f t="shared" si="435"/>
        <v>-8.0161068773518251E-2</v>
      </c>
      <c r="W267" s="284" t="str">
        <f t="shared" si="436"/>
        <v/>
      </c>
      <c r="X267" s="284">
        <f t="shared" si="437"/>
        <v>-0.10995830508562676</v>
      </c>
    </row>
    <row r="268" spans="1:34">
      <c r="A268" s="216" t="s">
        <v>29</v>
      </c>
      <c r="J268" s="211" t="str">
        <f t="shared" ref="J268:P268" si="442">IFERROR((J258*J239*11.63/1000000+R221)/(J239*11.63+J202)*1000000,"")</f>
        <v/>
      </c>
      <c r="K268" s="211">
        <f t="shared" si="442"/>
        <v>380.70062444867119</v>
      </c>
      <c r="L268" s="211">
        <f t="shared" si="442"/>
        <v>1896.1739713493712</v>
      </c>
      <c r="M268" s="211">
        <f t="shared" si="442"/>
        <v>273.18977566056037</v>
      </c>
      <c r="N268" s="211">
        <f t="shared" si="442"/>
        <v>282.98606663580773</v>
      </c>
      <c r="O268" s="211">
        <f t="shared" si="442"/>
        <v>3.13944712859456</v>
      </c>
      <c r="P268" s="211">
        <f t="shared" si="442"/>
        <v>430.20561984876019</v>
      </c>
      <c r="R268" s="284" t="str">
        <f t="shared" si="431"/>
        <v/>
      </c>
      <c r="S268" s="284">
        <f t="shared" si="432"/>
        <v>-0.27729537965037898</v>
      </c>
      <c r="T268" s="284">
        <f t="shared" si="433"/>
        <v>-2.5201398829480914E-2</v>
      </c>
      <c r="U268" s="284">
        <f t="shared" si="434"/>
        <v>-0.41121121125412274</v>
      </c>
      <c r="V268" s="284">
        <f t="shared" si="435"/>
        <v>-0.29372870441245769</v>
      </c>
      <c r="W268" s="284">
        <f t="shared" si="436"/>
        <v>-0.5677427444038643</v>
      </c>
      <c r="X268" s="284">
        <f t="shared" si="437"/>
        <v>-0.33328954312240511</v>
      </c>
    </row>
    <row r="269" spans="1:34">
      <c r="A269" s="216" t="s">
        <v>388</v>
      </c>
      <c r="J269" s="211" t="str">
        <f t="shared" ref="J269:P269" si="443">IFERROR((J258*J240*11.63/1000000+R222)/(J240*11.63+J203)*1000000,"")</f>
        <v/>
      </c>
      <c r="K269" s="211">
        <f t="shared" si="443"/>
        <v>351.10093911596408</v>
      </c>
      <c r="L269" s="211" t="str">
        <f t="shared" si="443"/>
        <v/>
      </c>
      <c r="M269" s="211">
        <f t="shared" si="443"/>
        <v>0</v>
      </c>
      <c r="N269" s="211" t="str">
        <f t="shared" si="443"/>
        <v/>
      </c>
      <c r="O269" s="211">
        <f t="shared" si="443"/>
        <v>0</v>
      </c>
      <c r="P269" s="211">
        <f t="shared" si="443"/>
        <v>335.50474806609827</v>
      </c>
      <c r="R269" s="284" t="str">
        <f t="shared" si="431"/>
        <v/>
      </c>
      <c r="S269" s="284">
        <f t="shared" si="432"/>
        <v>-0.18160487352228405</v>
      </c>
      <c r="T269" s="284" t="str">
        <f t="shared" si="433"/>
        <v/>
      </c>
      <c r="U269" s="284" t="str">
        <f t="shared" si="434"/>
        <v/>
      </c>
      <c r="V269" s="284" t="str">
        <f t="shared" si="435"/>
        <v/>
      </c>
      <c r="W269" s="284" t="str">
        <f t="shared" si="436"/>
        <v/>
      </c>
      <c r="X269" s="284">
        <f t="shared" si="437"/>
        <v>-0.18928380547541868</v>
      </c>
    </row>
    <row r="270" spans="1:34">
      <c r="J270" s="211"/>
      <c r="K270" s="211"/>
      <c r="L270" s="211"/>
      <c r="M270" s="211"/>
      <c r="N270" s="211"/>
      <c r="O270" s="211"/>
      <c r="P270" s="211"/>
    </row>
    <row r="271" spans="1:34">
      <c r="J271" s="211"/>
      <c r="K271" s="211"/>
      <c r="L271" s="211"/>
      <c r="M271" s="211"/>
      <c r="N271" s="211"/>
      <c r="O271" s="211"/>
      <c r="P271" s="211"/>
    </row>
    <row r="272" spans="1:34">
      <c r="J272" s="211"/>
      <c r="K272" s="211"/>
      <c r="L272" s="211"/>
      <c r="M272" s="211"/>
      <c r="N272" s="211"/>
      <c r="O272" s="211"/>
      <c r="P272" s="211"/>
    </row>
    <row r="273" spans="1:43">
      <c r="J273" s="211"/>
      <c r="K273" s="211"/>
      <c r="L273" s="211"/>
      <c r="M273" s="211"/>
      <c r="N273" s="211"/>
      <c r="O273" s="211"/>
      <c r="P273" s="211"/>
    </row>
    <row r="274" spans="1:43">
      <c r="J274" s="211"/>
      <c r="K274" s="211"/>
      <c r="L274" s="211"/>
      <c r="M274" s="211"/>
      <c r="N274" s="211"/>
      <c r="O274" s="211"/>
      <c r="P274" s="211"/>
    </row>
    <row r="275" spans="1:43">
      <c r="J275" s="211"/>
      <c r="K275" s="211"/>
      <c r="L275" s="211"/>
      <c r="M275" s="211"/>
      <c r="N275" s="211"/>
      <c r="O275" s="211"/>
      <c r="P275" s="211"/>
    </row>
    <row r="278" spans="1:43" ht="15.6">
      <c r="A278" s="113"/>
      <c r="B278" s="113"/>
      <c r="J278" s="284">
        <f t="shared" ref="J278:O278" si="444">J289/J296</f>
        <v>5.5988597489743655E-3</v>
      </c>
      <c r="K278" s="284">
        <f t="shared" si="444"/>
        <v>0.58191292444238318</v>
      </c>
      <c r="L278" s="284">
        <f t="shared" si="444"/>
        <v>0.98361428739832613</v>
      </c>
      <c r="M278" s="284">
        <f t="shared" si="444"/>
        <v>0.66890504327668088</v>
      </c>
      <c r="N278" s="284">
        <f t="shared" si="444"/>
        <v>0.64697438366175919</v>
      </c>
      <c r="O278" s="284">
        <f t="shared" si="444"/>
        <v>0.66082475598881552</v>
      </c>
      <c r="P278" s="284">
        <f>SUM(K289:O289)/SUM(K296:O296)</f>
        <v>0.599536307581085</v>
      </c>
    </row>
    <row r="279" spans="1:43">
      <c r="J279" s="196">
        <f>J333*((J289/11.63)/((J289/11.63)+J326))*41.868</f>
        <v>306.48078609379996</v>
      </c>
      <c r="K279" s="196">
        <f t="shared" ref="K279:P279" si="445">K333*((K289/11.63)/((K289/11.63)+K326))*41.868</f>
        <v>423587.69121908338</v>
      </c>
      <c r="L279" s="196">
        <f t="shared" si="445"/>
        <v>11660.482213343503</v>
      </c>
      <c r="M279" s="196">
        <f t="shared" si="445"/>
        <v>9741.2986540295879</v>
      </c>
      <c r="N279" s="196">
        <f t="shared" si="445"/>
        <v>83114.515174011991</v>
      </c>
      <c r="O279" s="196">
        <f t="shared" si="445"/>
        <v>33485.397847132896</v>
      </c>
      <c r="P279" s="196">
        <f t="shared" si="445"/>
        <v>561630.9400368653</v>
      </c>
    </row>
    <row r="280" spans="1:43">
      <c r="A280" s="450" t="s">
        <v>437</v>
      </c>
      <c r="J280" s="68" t="s">
        <v>199</v>
      </c>
      <c r="R280" s="68" t="s">
        <v>136</v>
      </c>
      <c r="S280" s="68"/>
      <c r="AJ280" s="68" t="s">
        <v>288</v>
      </c>
    </row>
    <row r="281" spans="1:43" ht="15.6">
      <c r="A281" s="68"/>
      <c r="J281" s="210" t="s">
        <v>5</v>
      </c>
      <c r="K281" s="210" t="s">
        <v>210</v>
      </c>
      <c r="L281" s="210" t="s">
        <v>211</v>
      </c>
      <c r="M281" s="210" t="s">
        <v>214</v>
      </c>
      <c r="N281" s="210" t="s">
        <v>216</v>
      </c>
      <c r="O281" s="210" t="s">
        <v>215</v>
      </c>
      <c r="P281" s="210" t="s">
        <v>213</v>
      </c>
      <c r="Q281" s="2"/>
      <c r="R281" s="210" t="s">
        <v>5</v>
      </c>
      <c r="S281" s="210" t="s">
        <v>210</v>
      </c>
      <c r="T281" s="210" t="s">
        <v>211</v>
      </c>
      <c r="U281" s="210" t="s">
        <v>214</v>
      </c>
      <c r="V281" s="210" t="s">
        <v>216</v>
      </c>
      <c r="W281" s="210" t="s">
        <v>215</v>
      </c>
      <c r="X281" s="210" t="s">
        <v>213</v>
      </c>
      <c r="AA281" s="68" t="s">
        <v>218</v>
      </c>
      <c r="AB281" s="213" t="s">
        <v>217</v>
      </c>
      <c r="AJ281" s="68"/>
      <c r="AK281" s="210" t="s">
        <v>5</v>
      </c>
      <c r="AL281" s="210" t="s">
        <v>210</v>
      </c>
      <c r="AM281" s="210" t="s">
        <v>211</v>
      </c>
      <c r="AN281" s="210" t="s">
        <v>214</v>
      </c>
      <c r="AO281" s="210" t="s">
        <v>216</v>
      </c>
      <c r="AP281" s="210" t="s">
        <v>215</v>
      </c>
      <c r="AQ281" s="210" t="s">
        <v>213</v>
      </c>
    </row>
    <row r="282" spans="1:43" ht="15.6">
      <c r="A282" s="11" t="s">
        <v>17</v>
      </c>
      <c r="J282" s="209">
        <f t="shared" ref="J282:P282" si="446">SUM(J283:J288)</f>
        <v>13304.6</v>
      </c>
      <c r="K282" s="209">
        <f t="shared" si="446"/>
        <v>55891.03</v>
      </c>
      <c r="L282" s="209">
        <f t="shared" si="446"/>
        <v>27.8</v>
      </c>
      <c r="M282" s="209">
        <f t="shared" si="446"/>
        <v>1051.2</v>
      </c>
      <c r="N282" s="209">
        <f t="shared" si="446"/>
        <v>7274.58</v>
      </c>
      <c r="O282" s="209">
        <f t="shared" si="446"/>
        <v>2803.28</v>
      </c>
      <c r="P282" s="209">
        <f t="shared" si="446"/>
        <v>80352.490000000005</v>
      </c>
      <c r="Q282" s="2"/>
      <c r="R282" s="236">
        <v>9.8930000000000007</v>
      </c>
      <c r="S282" s="236">
        <v>6.8170000000000002</v>
      </c>
      <c r="T282" s="236">
        <v>9.4870000000000001</v>
      </c>
      <c r="U282" s="236">
        <v>10.762</v>
      </c>
      <c r="V282" s="236">
        <v>11.23</v>
      </c>
      <c r="W282" s="236">
        <v>9.7680000000000007</v>
      </c>
      <c r="X282" s="502">
        <v>7.8810000000000002</v>
      </c>
      <c r="AA282" s="68" t="s">
        <v>5</v>
      </c>
      <c r="AC282" s="451"/>
      <c r="AJ282" s="11" t="s">
        <v>17</v>
      </c>
      <c r="AK282" s="286">
        <f t="shared" ref="AK282:AK296" si="447">IFERROR(J282*3.6/J301,"")</f>
        <v>0.3638936621853836</v>
      </c>
      <c r="AL282" s="286">
        <f t="shared" ref="AL282:AL296" si="448">IFERROR(K282*3.6/K301,"")</f>
        <v>0.52807104995971044</v>
      </c>
      <c r="AM282" s="286">
        <f t="shared" ref="AM282:AM296" si="449">IFERROR(L282*3.6/L301,"")</f>
        <v>0.37946663855802676</v>
      </c>
      <c r="AN282" s="286">
        <f t="shared" ref="AN282:AN296" si="450">IFERROR(M282*3.6/M301,"")</f>
        <v>0.33449637008434002</v>
      </c>
      <c r="AO282" s="286">
        <f t="shared" ref="AO282:AO296" si="451">IFERROR(N282*3.6/N301,"")</f>
        <v>0.32057548701714178</v>
      </c>
      <c r="AP282" s="286">
        <f t="shared" ref="AP282:AP296" si="452">IFERROR(O282*3.6/O301,"")</f>
        <v>0.36854913567623421</v>
      </c>
      <c r="AQ282" s="286">
        <f t="shared" ref="AQ282:AQ296" si="453">IFERROR(P282*3.6/P301,"")</f>
        <v>0.45676580397457756</v>
      </c>
    </row>
    <row r="283" spans="1:43" ht="15.6">
      <c r="A283" s="10" t="s">
        <v>18</v>
      </c>
      <c r="J283" s="211"/>
      <c r="K283" s="211">
        <v>229.88</v>
      </c>
      <c r="L283" s="211">
        <v>27.8</v>
      </c>
      <c r="M283" s="211">
        <v>182</v>
      </c>
      <c r="N283" s="211">
        <v>1403.18</v>
      </c>
      <c r="O283" s="211">
        <v>2783.38</v>
      </c>
      <c r="P283" s="209">
        <f t="shared" ref="P283:P288" si="454">SUM(J283:O283)</f>
        <v>4626.24</v>
      </c>
      <c r="Q283" s="2"/>
      <c r="R283" s="208">
        <v>0</v>
      </c>
      <c r="S283" s="208">
        <v>10.279</v>
      </c>
      <c r="T283" s="208">
        <v>9.4870000000000001</v>
      </c>
      <c r="U283" s="208">
        <v>9.5</v>
      </c>
      <c r="V283" s="208">
        <v>8.6769999999999996</v>
      </c>
      <c r="W283" s="208">
        <v>9.7729999999999997</v>
      </c>
      <c r="X283" s="236">
        <v>9.4534000000000002</v>
      </c>
      <c r="Z283" s="199">
        <f>AA283*AB283</f>
        <v>601258.01217640855</v>
      </c>
      <c r="AA283" s="237">
        <v>6374.10778838853</v>
      </c>
      <c r="AB283" s="237">
        <v>94.328183980775705</v>
      </c>
      <c r="AC283" s="216" t="s">
        <v>59</v>
      </c>
      <c r="AF283" s="215"/>
      <c r="AG283" s="237"/>
      <c r="AH283" s="237"/>
      <c r="AJ283" s="10" t="s">
        <v>18</v>
      </c>
      <c r="AK283" s="56" t="str">
        <f t="shared" si="447"/>
        <v/>
      </c>
      <c r="AL283" s="56">
        <f t="shared" si="448"/>
        <v>0.35022862146123168</v>
      </c>
      <c r="AM283" s="56">
        <f t="shared" si="449"/>
        <v>0.37946663855802676</v>
      </c>
      <c r="AN283" s="56">
        <f t="shared" si="450"/>
        <v>0.37894736842105264</v>
      </c>
      <c r="AO283" s="56">
        <f t="shared" si="451"/>
        <v>0.41488993891898124</v>
      </c>
      <c r="AP283" s="56">
        <f t="shared" si="452"/>
        <v>0.36836181315870259</v>
      </c>
      <c r="AQ283" s="286">
        <f t="shared" si="453"/>
        <v>0.38082108460351299</v>
      </c>
    </row>
    <row r="284" spans="1:43" ht="15.6">
      <c r="A284" s="10" t="s">
        <v>19</v>
      </c>
      <c r="J284" s="211"/>
      <c r="K284" s="211">
        <v>1247.45</v>
      </c>
      <c r="L284" s="211"/>
      <c r="M284" s="211">
        <v>6.8</v>
      </c>
      <c r="N284" s="211">
        <v>10.6</v>
      </c>
      <c r="O284" s="211">
        <v>0.5</v>
      </c>
      <c r="P284" s="209">
        <f t="shared" si="454"/>
        <v>1265.3499999999999</v>
      </c>
      <c r="Q284" s="2"/>
      <c r="R284" s="208">
        <v>0</v>
      </c>
      <c r="S284" s="208">
        <v>7.3639999999999999</v>
      </c>
      <c r="T284" s="208">
        <v>0</v>
      </c>
      <c r="U284" s="208">
        <v>15.443</v>
      </c>
      <c r="V284" s="208">
        <v>13.388</v>
      </c>
      <c r="W284" s="208">
        <v>11.255000000000001</v>
      </c>
      <c r="X284" s="236">
        <v>7.4589999999999996</v>
      </c>
      <c r="Z284" s="199">
        <f>AA284*AB284</f>
        <v>90.212499946757305</v>
      </c>
      <c r="AA284" s="237">
        <v>0.956368458923611</v>
      </c>
      <c r="AB284" s="237">
        <v>94.328183980775705</v>
      </c>
      <c r="AC284" s="216" t="s">
        <v>60</v>
      </c>
      <c r="AF284" s="215"/>
      <c r="AG284" s="237"/>
      <c r="AH284" s="237"/>
      <c r="AJ284" s="10" t="s">
        <v>19</v>
      </c>
      <c r="AK284" s="56" t="str">
        <f t="shared" si="447"/>
        <v/>
      </c>
      <c r="AL284" s="56">
        <f t="shared" si="448"/>
        <v>0.48886474741988062</v>
      </c>
      <c r="AM284" s="56" t="str">
        <f t="shared" si="449"/>
        <v/>
      </c>
      <c r="AN284" s="56">
        <f t="shared" si="450"/>
        <v>0.23311532733277213</v>
      </c>
      <c r="AO284" s="56">
        <f t="shared" si="451"/>
        <v>0.268897520167314</v>
      </c>
      <c r="AP284" s="56">
        <f t="shared" si="452"/>
        <v>0.31985784095957354</v>
      </c>
      <c r="AQ284" s="286">
        <f t="shared" si="453"/>
        <v>0.48261138138219112</v>
      </c>
    </row>
    <row r="285" spans="1:43" ht="15.6">
      <c r="A285" s="10" t="s">
        <v>20</v>
      </c>
      <c r="J285" s="211">
        <v>13304.6</v>
      </c>
      <c r="K285" s="211">
        <v>435</v>
      </c>
      <c r="L285" s="211"/>
      <c r="M285" s="211">
        <v>856</v>
      </c>
      <c r="N285" s="211">
        <v>4198.3</v>
      </c>
      <c r="O285" s="211">
        <v>8.5</v>
      </c>
      <c r="P285" s="209">
        <f t="shared" si="454"/>
        <v>18802.400000000001</v>
      </c>
      <c r="Q285" s="2"/>
      <c r="R285" s="208">
        <v>9.8930000000000007</v>
      </c>
      <c r="S285" s="208">
        <v>9.907</v>
      </c>
      <c r="T285" s="208">
        <v>0</v>
      </c>
      <c r="U285" s="208">
        <v>11.013</v>
      </c>
      <c r="V285" s="208">
        <v>13.49</v>
      </c>
      <c r="W285" s="208">
        <v>9.0440000000000005</v>
      </c>
      <c r="X285" s="236">
        <v>10.747</v>
      </c>
      <c r="Z285" s="199">
        <f>AA285*AB285</f>
        <v>0</v>
      </c>
      <c r="AA285" s="237"/>
      <c r="AB285" s="237">
        <v>101</v>
      </c>
      <c r="AC285" s="216" t="s">
        <v>61</v>
      </c>
      <c r="AF285" s="215"/>
      <c r="AG285" s="237"/>
      <c r="AH285" s="237"/>
      <c r="AJ285" s="10" t="s">
        <v>20</v>
      </c>
      <c r="AK285" s="56">
        <f t="shared" si="447"/>
        <v>0.3638936621853836</v>
      </c>
      <c r="AL285" s="56">
        <f t="shared" si="448"/>
        <v>0.36337942868678713</v>
      </c>
      <c r="AM285" s="56" t="str">
        <f t="shared" si="449"/>
        <v/>
      </c>
      <c r="AN285" s="56">
        <f t="shared" si="450"/>
        <v>0.32688640697357663</v>
      </c>
      <c r="AO285" s="56">
        <f t="shared" si="451"/>
        <v>0.26686434395848779</v>
      </c>
      <c r="AP285" s="56">
        <f t="shared" si="452"/>
        <v>0.39805395842547542</v>
      </c>
      <c r="AQ285" s="286">
        <f t="shared" si="453"/>
        <v>0.33497450251424421</v>
      </c>
    </row>
    <row r="286" spans="1:43" ht="15.6">
      <c r="A286" s="10" t="s">
        <v>21</v>
      </c>
      <c r="J286" s="211"/>
      <c r="K286" s="211">
        <v>53978.6</v>
      </c>
      <c r="L286" s="211"/>
      <c r="M286" s="211">
        <v>6.4</v>
      </c>
      <c r="N286" s="211">
        <v>1662.5</v>
      </c>
      <c r="O286" s="211">
        <v>10.9</v>
      </c>
      <c r="P286" s="209">
        <f t="shared" si="454"/>
        <v>55658.400000000001</v>
      </c>
      <c r="Q286" s="2"/>
      <c r="R286" s="208">
        <v>0</v>
      </c>
      <c r="S286" s="208">
        <v>6.7649999999999997</v>
      </c>
      <c r="T286" s="208">
        <v>0</v>
      </c>
      <c r="U286" s="208">
        <v>8.1790000000000003</v>
      </c>
      <c r="V286" s="208">
        <v>7.6630000000000003</v>
      </c>
      <c r="W286" s="208">
        <v>8.9960000000000004</v>
      </c>
      <c r="X286" s="236">
        <v>6.7919999999999998</v>
      </c>
      <c r="Z286" s="199">
        <f>AA286*AB286</f>
        <v>0</v>
      </c>
      <c r="AA286" s="237">
        <v>0</v>
      </c>
      <c r="AB286" s="237">
        <v>96.1</v>
      </c>
      <c r="AC286" s="216" t="s">
        <v>62</v>
      </c>
      <c r="AF286" s="215"/>
      <c r="AG286" s="237"/>
      <c r="AH286" s="237"/>
      <c r="AJ286" s="10" t="s">
        <v>21</v>
      </c>
      <c r="AK286" s="56" t="str">
        <f t="shared" si="447"/>
        <v/>
      </c>
      <c r="AL286" s="56">
        <f t="shared" si="448"/>
        <v>0.53215077605321504</v>
      </c>
      <c r="AM286" s="56" t="str">
        <f t="shared" si="449"/>
        <v/>
      </c>
      <c r="AN286" s="56">
        <f t="shared" si="450"/>
        <v>0.44015160777601176</v>
      </c>
      <c r="AO286" s="56">
        <f t="shared" si="451"/>
        <v>0.46978989951716033</v>
      </c>
      <c r="AP286" s="56">
        <f t="shared" si="452"/>
        <v>0.40017785682525564</v>
      </c>
      <c r="AQ286" s="286">
        <f t="shared" si="453"/>
        <v>0.53000236657134003</v>
      </c>
    </row>
    <row r="287" spans="1:43" ht="15.6">
      <c r="A287" s="10" t="s">
        <v>23</v>
      </c>
      <c r="J287" s="211"/>
      <c r="K287" s="211"/>
      <c r="L287" s="211"/>
      <c r="M287" s="211"/>
      <c r="N287" s="211"/>
      <c r="O287" s="211"/>
      <c r="P287" s="209">
        <f t="shared" si="454"/>
        <v>0</v>
      </c>
      <c r="Q287" s="2"/>
      <c r="R287" s="208">
        <v>0</v>
      </c>
      <c r="S287" s="208">
        <v>0</v>
      </c>
      <c r="T287" s="208">
        <v>0</v>
      </c>
      <c r="U287" s="208">
        <v>0</v>
      </c>
      <c r="V287" s="208">
        <v>0</v>
      </c>
      <c r="W287" s="208">
        <v>0</v>
      </c>
      <c r="X287" s="236">
        <v>0</v>
      </c>
      <c r="AA287" t="s">
        <v>210</v>
      </c>
      <c r="AC287" s="451"/>
      <c r="AF287" s="240"/>
      <c r="AG287" s="240"/>
      <c r="AH287" s="240"/>
      <c r="AJ287" s="10" t="s">
        <v>23</v>
      </c>
      <c r="AK287" s="56" t="str">
        <f t="shared" si="447"/>
        <v/>
      </c>
      <c r="AL287" s="56" t="str">
        <f t="shared" si="448"/>
        <v/>
      </c>
      <c r="AM287" s="56" t="str">
        <f t="shared" si="449"/>
        <v/>
      </c>
      <c r="AN287" s="56" t="str">
        <f t="shared" si="450"/>
        <v/>
      </c>
      <c r="AO287" s="56" t="str">
        <f t="shared" si="451"/>
        <v/>
      </c>
      <c r="AP287" s="56" t="str">
        <f t="shared" si="452"/>
        <v/>
      </c>
      <c r="AQ287" s="286" t="str">
        <f t="shared" si="453"/>
        <v/>
      </c>
    </row>
    <row r="288" spans="1:43" ht="15.6">
      <c r="A288" s="10" t="s">
        <v>387</v>
      </c>
      <c r="J288" s="211"/>
      <c r="K288" s="211">
        <v>0.1</v>
      </c>
      <c r="L288" s="211"/>
      <c r="M288" s="211"/>
      <c r="N288" s="211"/>
      <c r="O288" s="211"/>
      <c r="P288" s="209">
        <f t="shared" si="454"/>
        <v>0.1</v>
      </c>
      <c r="Q288" s="2"/>
      <c r="R288" s="208">
        <v>0</v>
      </c>
      <c r="S288" s="208">
        <v>6.9089999999999998</v>
      </c>
      <c r="T288" s="208">
        <v>0</v>
      </c>
      <c r="U288" s="208">
        <v>0</v>
      </c>
      <c r="V288" s="208">
        <v>0</v>
      </c>
      <c r="W288" s="208">
        <v>0</v>
      </c>
      <c r="X288" s="236">
        <v>6.9089999999999998</v>
      </c>
      <c r="Z288" s="199"/>
      <c r="AA288" s="237">
        <v>19609.000150509321</v>
      </c>
      <c r="AB288" s="237">
        <v>57.514354246521499</v>
      </c>
      <c r="AC288" s="451"/>
      <c r="AF288" s="215"/>
      <c r="AG288" s="237"/>
      <c r="AH288" s="237"/>
      <c r="AJ288" s="10" t="s">
        <v>387</v>
      </c>
      <c r="AK288" s="56" t="str">
        <f t="shared" si="447"/>
        <v/>
      </c>
      <c r="AL288" s="56" t="str">
        <f t="shared" si="448"/>
        <v/>
      </c>
      <c r="AM288" s="56" t="str">
        <f t="shared" si="449"/>
        <v/>
      </c>
      <c r="AN288" s="56" t="str">
        <f t="shared" si="450"/>
        <v/>
      </c>
      <c r="AO288" s="56" t="str">
        <f t="shared" si="451"/>
        <v/>
      </c>
      <c r="AP288" s="56" t="str">
        <f t="shared" si="452"/>
        <v/>
      </c>
      <c r="AQ288" s="286" t="str">
        <f t="shared" si="453"/>
        <v/>
      </c>
    </row>
    <row r="289" spans="1:43" ht="15.6">
      <c r="A289" s="11" t="s">
        <v>24</v>
      </c>
      <c r="J289" s="209">
        <f t="shared" ref="J289:P289" si="455">SUM(J290:J295)</f>
        <v>74.910000000000011</v>
      </c>
      <c r="K289" s="209">
        <f t="shared" si="455"/>
        <v>77791.72</v>
      </c>
      <c r="L289" s="209">
        <f t="shared" si="455"/>
        <v>1668.8</v>
      </c>
      <c r="M289" s="209">
        <f t="shared" si="455"/>
        <v>2123.7199999999998</v>
      </c>
      <c r="N289" s="209">
        <f t="shared" si="455"/>
        <v>13331.8</v>
      </c>
      <c r="O289" s="209">
        <f t="shared" si="455"/>
        <v>5461.7100000000009</v>
      </c>
      <c r="P289" s="209">
        <f t="shared" si="455"/>
        <v>100452.65999999999</v>
      </c>
      <c r="Q289" s="2"/>
      <c r="R289" s="236">
        <v>4.3959999999999999</v>
      </c>
      <c r="S289" s="236">
        <v>6.1319999999999997</v>
      </c>
      <c r="T289" s="236">
        <v>8.4689999999999994</v>
      </c>
      <c r="U289" s="236">
        <v>5.984</v>
      </c>
      <c r="V289" s="236">
        <v>8.1560000000000006</v>
      </c>
      <c r="W289" s="236">
        <v>7.3540000000000001</v>
      </c>
      <c r="X289" s="502">
        <v>6.5010000000000003</v>
      </c>
      <c r="Z289" s="199"/>
      <c r="AA289" s="470" t="s">
        <v>237</v>
      </c>
      <c r="AB289" s="388"/>
      <c r="AC289" s="451"/>
      <c r="AF289" s="240"/>
      <c r="AG289" s="240"/>
      <c r="AH289" s="240"/>
      <c r="AJ289" s="11" t="s">
        <v>24</v>
      </c>
      <c r="AK289" s="286">
        <f t="shared" si="447"/>
        <v>0.81903563258745982</v>
      </c>
      <c r="AL289" s="286">
        <f t="shared" si="448"/>
        <v>0.58696905306942204</v>
      </c>
      <c r="AM289" s="286">
        <f t="shared" si="449"/>
        <v>0.42508528480136704</v>
      </c>
      <c r="AN289" s="286">
        <f t="shared" si="450"/>
        <v>0.60159460396568898</v>
      </c>
      <c r="AO289" s="286">
        <f t="shared" si="451"/>
        <v>0.44142449569344594</v>
      </c>
      <c r="AP289" s="286">
        <f t="shared" si="452"/>
        <v>0.48948237510109993</v>
      </c>
      <c r="AQ289" s="286">
        <f t="shared" si="453"/>
        <v>0.55364569944741859</v>
      </c>
    </row>
    <row r="290" spans="1:43" ht="15.6">
      <c r="A290" s="10" t="s">
        <v>25</v>
      </c>
      <c r="J290" s="211"/>
      <c r="K290" s="211">
        <v>10761.3</v>
      </c>
      <c r="L290" s="211">
        <v>134</v>
      </c>
      <c r="M290" s="211">
        <v>24.7</v>
      </c>
      <c r="N290" s="211">
        <v>2105.5</v>
      </c>
      <c r="O290" s="211">
        <v>5426.7</v>
      </c>
      <c r="P290" s="209">
        <f t="shared" ref="P290:P295" si="456">SUM(J290:O290)</f>
        <v>18452.2</v>
      </c>
      <c r="Q290" s="2"/>
      <c r="R290" s="208">
        <v>0</v>
      </c>
      <c r="S290" s="208">
        <v>5.875</v>
      </c>
      <c r="T290" s="208">
        <v>6.6890000000000001</v>
      </c>
      <c r="U290" s="208">
        <v>6.1909999999999998</v>
      </c>
      <c r="V290" s="208">
        <v>7.468</v>
      </c>
      <c r="W290" s="208">
        <v>7.3529999999999998</v>
      </c>
      <c r="X290" s="236">
        <v>6.4980000000000002</v>
      </c>
      <c r="Z290" s="199">
        <f>AA290*AB290</f>
        <v>417.6754858848069</v>
      </c>
      <c r="AA290" s="237">
        <v>2.1656654145074601</v>
      </c>
      <c r="AB290" s="237">
        <v>192.86242606399998</v>
      </c>
      <c r="AC290" s="216" t="s">
        <v>154</v>
      </c>
      <c r="AF290" s="215"/>
      <c r="AG290" s="237"/>
      <c r="AH290" s="237"/>
      <c r="AJ290" s="10" t="s">
        <v>25</v>
      </c>
      <c r="AK290" s="56" t="str">
        <f t="shared" si="447"/>
        <v/>
      </c>
      <c r="AL290" s="56">
        <f t="shared" si="448"/>
        <v>0.61276595744680851</v>
      </c>
      <c r="AM290" s="56">
        <f t="shared" si="449"/>
        <v>0.53819703991628054</v>
      </c>
      <c r="AN290" s="56">
        <f t="shared" si="450"/>
        <v>0.58148925860119527</v>
      </c>
      <c r="AO290" s="56">
        <f t="shared" si="451"/>
        <v>0.48205677557579008</v>
      </c>
      <c r="AP290" s="56">
        <f t="shared" si="452"/>
        <v>0.48959608323133413</v>
      </c>
      <c r="AQ290" s="286">
        <f t="shared" si="453"/>
        <v>0.55403563615582563</v>
      </c>
    </row>
    <row r="291" spans="1:43" ht="15.6">
      <c r="A291" s="10" t="s">
        <v>26</v>
      </c>
      <c r="J291" s="211"/>
      <c r="K291" s="211">
        <v>4447.54</v>
      </c>
      <c r="L291" s="211"/>
      <c r="M291" s="211">
        <v>447.22</v>
      </c>
      <c r="N291" s="211">
        <v>22</v>
      </c>
      <c r="O291" s="211">
        <v>7.3</v>
      </c>
      <c r="P291" s="209">
        <f t="shared" si="456"/>
        <v>4924.0600000000004</v>
      </c>
      <c r="Q291" s="2"/>
      <c r="R291" s="208">
        <v>0</v>
      </c>
      <c r="S291" s="208">
        <v>5.95</v>
      </c>
      <c r="T291" s="208">
        <v>4.8730000000000002</v>
      </c>
      <c r="U291" s="208">
        <v>5.1769999999999996</v>
      </c>
      <c r="V291" s="208">
        <v>9.2780000000000005</v>
      </c>
      <c r="W291" s="208">
        <v>6.7789999999999999</v>
      </c>
      <c r="X291" s="236">
        <v>5.8680000000000003</v>
      </c>
      <c r="Z291" s="199">
        <f>AA291*AB291</f>
        <v>89241.464153553708</v>
      </c>
      <c r="AA291" s="237">
        <v>356.56331656417501</v>
      </c>
      <c r="AB291" s="237">
        <v>250.28223602326699</v>
      </c>
      <c r="AC291" s="216" t="s">
        <v>155</v>
      </c>
      <c r="AF291" s="215"/>
      <c r="AG291" s="237"/>
      <c r="AH291" s="237"/>
      <c r="AJ291" s="10" t="s">
        <v>26</v>
      </c>
      <c r="AK291" s="56" t="str">
        <f t="shared" si="447"/>
        <v/>
      </c>
      <c r="AL291" s="56">
        <f t="shared" si="448"/>
        <v>0.60504201680672265</v>
      </c>
      <c r="AM291" s="56" t="str">
        <f t="shared" si="449"/>
        <v/>
      </c>
      <c r="AN291" s="56">
        <f t="shared" si="450"/>
        <v>0.6953834266949972</v>
      </c>
      <c r="AO291" s="56">
        <f t="shared" si="451"/>
        <v>0.38801465833153698</v>
      </c>
      <c r="AP291" s="56">
        <f t="shared" si="452"/>
        <v>0.53105177754831101</v>
      </c>
      <c r="AQ291" s="286">
        <f t="shared" si="453"/>
        <v>0.61059467979972815</v>
      </c>
    </row>
    <row r="292" spans="1:43" ht="15.6">
      <c r="A292" s="10" t="s">
        <v>27</v>
      </c>
      <c r="J292" s="211"/>
      <c r="K292" s="211">
        <v>61073.14</v>
      </c>
      <c r="L292" s="211">
        <v>915.6</v>
      </c>
      <c r="M292" s="211">
        <v>1322.1</v>
      </c>
      <c r="N292" s="211">
        <v>6512.3</v>
      </c>
      <c r="O292" s="211">
        <v>26.5</v>
      </c>
      <c r="P292" s="209">
        <f t="shared" si="456"/>
        <v>69849.64</v>
      </c>
      <c r="Q292" s="2"/>
      <c r="R292" s="208">
        <v>0</v>
      </c>
      <c r="S292" s="90">
        <v>6.16</v>
      </c>
      <c r="T292" s="208">
        <v>8.1449999999999996</v>
      </c>
      <c r="U292" s="208">
        <v>6.4829999999999997</v>
      </c>
      <c r="V292" s="208">
        <v>6.0250000000000004</v>
      </c>
      <c r="W292" s="208">
        <v>7.7130000000000001</v>
      </c>
      <c r="X292" s="236">
        <v>6.18</v>
      </c>
      <c r="Z292" s="199">
        <f>AA292*AB292</f>
        <v>8377.042320016224</v>
      </c>
      <c r="AA292" s="237">
        <v>190.35219265860999</v>
      </c>
      <c r="AB292" s="237">
        <v>44.008120962599875</v>
      </c>
      <c r="AC292" s="216" t="s">
        <v>156</v>
      </c>
      <c r="AF292" s="215"/>
      <c r="AG292" s="237"/>
      <c r="AH292" s="237"/>
      <c r="AJ292" s="10" t="s">
        <v>27</v>
      </c>
      <c r="AK292" s="56" t="str">
        <f t="shared" si="447"/>
        <v/>
      </c>
      <c r="AL292" s="56">
        <f t="shared" si="448"/>
        <v>0.5844155844155845</v>
      </c>
      <c r="AM292" s="56">
        <f t="shared" si="449"/>
        <v>0.44198895027624313</v>
      </c>
      <c r="AN292" s="56">
        <f t="shared" si="450"/>
        <v>0.55529847292919943</v>
      </c>
      <c r="AO292" s="56">
        <f t="shared" si="451"/>
        <v>0.59751037344398339</v>
      </c>
      <c r="AP292" s="56">
        <f t="shared" si="452"/>
        <v>0.46674445740956833</v>
      </c>
      <c r="AQ292" s="286">
        <f t="shared" si="453"/>
        <v>0.58251144479484218</v>
      </c>
    </row>
    <row r="293" spans="1:43" ht="15.6">
      <c r="A293" s="10" t="s">
        <v>28</v>
      </c>
      <c r="J293" s="211">
        <v>0.01</v>
      </c>
      <c r="K293" s="211">
        <v>549.32000000000005</v>
      </c>
      <c r="L293" s="211"/>
      <c r="M293" s="211">
        <v>161.5</v>
      </c>
      <c r="N293" s="211">
        <v>641.6</v>
      </c>
      <c r="O293" s="211">
        <v>0.01</v>
      </c>
      <c r="P293" s="209">
        <f t="shared" si="456"/>
        <v>1352.44</v>
      </c>
      <c r="Q293" s="2"/>
      <c r="R293" s="208">
        <v>0</v>
      </c>
      <c r="S293" s="208">
        <v>4.931</v>
      </c>
      <c r="T293" s="208">
        <v>0</v>
      </c>
      <c r="U293" s="208">
        <v>5.2249999999999996</v>
      </c>
      <c r="V293" s="208">
        <v>5.952</v>
      </c>
      <c r="W293" s="208">
        <v>0</v>
      </c>
      <c r="X293" s="236">
        <v>5.45</v>
      </c>
      <c r="Z293" s="199">
        <f>AA293*AB293</f>
        <v>396.2407439638323</v>
      </c>
      <c r="AA293" s="237">
        <v>7.0631148656654599</v>
      </c>
      <c r="AB293" s="237">
        <v>56.1</v>
      </c>
      <c r="AC293" s="217" t="s">
        <v>220</v>
      </c>
      <c r="AF293" s="240"/>
      <c r="AG293" s="240"/>
      <c r="AH293" s="240"/>
      <c r="AJ293" s="10" t="s">
        <v>28</v>
      </c>
      <c r="AK293" s="56" t="str">
        <f t="shared" si="447"/>
        <v/>
      </c>
      <c r="AL293" s="56">
        <f t="shared" si="448"/>
        <v>0.73007503548975861</v>
      </c>
      <c r="AM293" s="56" t="str">
        <f t="shared" si="449"/>
        <v/>
      </c>
      <c r="AN293" s="56">
        <f t="shared" si="450"/>
        <v>0.68899521531100483</v>
      </c>
      <c r="AO293" s="56">
        <f t="shared" si="451"/>
        <v>0.60483870967741937</v>
      </c>
      <c r="AP293" s="56" t="str">
        <f t="shared" si="452"/>
        <v/>
      </c>
      <c r="AQ293" s="286">
        <f t="shared" si="453"/>
        <v>0.66050210300908729</v>
      </c>
    </row>
    <row r="294" spans="1:43" ht="15.6">
      <c r="A294" s="10" t="s">
        <v>29</v>
      </c>
      <c r="J294" s="211">
        <v>74.900000000000006</v>
      </c>
      <c r="K294" s="211">
        <v>960.12</v>
      </c>
      <c r="L294" s="211">
        <v>619.20000000000005</v>
      </c>
      <c r="M294" s="211">
        <v>168.2</v>
      </c>
      <c r="N294" s="211">
        <v>4050.4</v>
      </c>
      <c r="O294" s="211">
        <v>1.1000000000000001</v>
      </c>
      <c r="P294" s="209">
        <f t="shared" si="456"/>
        <v>5873.92</v>
      </c>
      <c r="Q294" s="2"/>
      <c r="R294" s="208">
        <v>4.3959999999999999</v>
      </c>
      <c r="S294" s="208">
        <v>8.8610000000000007</v>
      </c>
      <c r="T294" s="208">
        <v>9.3330000000000002</v>
      </c>
      <c r="U294" s="208">
        <v>4.907</v>
      </c>
      <c r="V294" s="208">
        <v>12.281000000000001</v>
      </c>
      <c r="W294" s="208">
        <v>11.706</v>
      </c>
      <c r="X294" s="236">
        <v>11.1</v>
      </c>
      <c r="AA294" s="470" t="s">
        <v>238</v>
      </c>
      <c r="AB294" s="388"/>
      <c r="AC294" s="451"/>
      <c r="AJ294" s="10" t="s">
        <v>29</v>
      </c>
      <c r="AK294" s="56">
        <f t="shared" si="447"/>
        <v>0.81892629663330307</v>
      </c>
      <c r="AL294" s="56">
        <f t="shared" si="448"/>
        <v>0.4062746868299289</v>
      </c>
      <c r="AM294" s="56">
        <f t="shared" si="449"/>
        <v>0.38572806171648988</v>
      </c>
      <c r="AN294" s="56">
        <f t="shared" si="450"/>
        <v>0.73364581210515589</v>
      </c>
      <c r="AO294" s="56">
        <f t="shared" si="451"/>
        <v>0.29313573813207394</v>
      </c>
      <c r="AP294" s="56">
        <f t="shared" si="452"/>
        <v>0.30753459764223479</v>
      </c>
      <c r="AQ294" s="286">
        <f t="shared" si="453"/>
        <v>0.32434142812629291</v>
      </c>
    </row>
    <row r="295" spans="1:43" ht="15.6">
      <c r="A295" s="10" t="s">
        <v>389</v>
      </c>
      <c r="J295" s="211"/>
      <c r="K295" s="211">
        <v>0.3</v>
      </c>
      <c r="L295" s="211"/>
      <c r="M295" s="211"/>
      <c r="N295" s="211"/>
      <c r="O295" s="211">
        <v>0.1</v>
      </c>
      <c r="P295" s="209">
        <f t="shared" si="456"/>
        <v>0.4</v>
      </c>
      <c r="Q295" s="2"/>
      <c r="R295" s="208">
        <v>0</v>
      </c>
      <c r="S295" s="208">
        <v>7.7359999999999998</v>
      </c>
      <c r="T295" s="208">
        <v>0</v>
      </c>
      <c r="U295" s="208">
        <v>0</v>
      </c>
      <c r="V295" s="208">
        <v>0</v>
      </c>
      <c r="W295" s="208">
        <v>10.246</v>
      </c>
      <c r="X295" s="236">
        <v>8.4749999999999996</v>
      </c>
      <c r="Z295" s="199">
        <f t="shared" ref="Z295:Z301" si="457">AA295*AB295</f>
        <v>1.7716096276989897</v>
      </c>
      <c r="AA295" s="237">
        <v>2.4777757030755101E-2</v>
      </c>
      <c r="AB295" s="237">
        <v>71.5</v>
      </c>
      <c r="AC295" s="216" t="s">
        <v>66</v>
      </c>
      <c r="AF295" s="237"/>
      <c r="AG295" s="237"/>
      <c r="AH295" s="237"/>
      <c r="AJ295" s="10" t="s">
        <v>389</v>
      </c>
      <c r="AK295" s="56" t="str">
        <f t="shared" si="447"/>
        <v/>
      </c>
      <c r="AL295" s="56" t="str">
        <f t="shared" si="448"/>
        <v/>
      </c>
      <c r="AM295" s="56" t="str">
        <f t="shared" si="449"/>
        <v/>
      </c>
      <c r="AN295" s="56" t="str">
        <f t="shared" si="450"/>
        <v/>
      </c>
      <c r="AO295" s="56" t="str">
        <f t="shared" si="451"/>
        <v/>
      </c>
      <c r="AP295" s="56" t="str">
        <f t="shared" si="452"/>
        <v/>
      </c>
      <c r="AQ295" s="286" t="str">
        <f t="shared" si="453"/>
        <v/>
      </c>
    </row>
    <row r="296" spans="1:43" ht="15.6">
      <c r="A296" s="11" t="s">
        <v>10</v>
      </c>
      <c r="J296" s="209">
        <f t="shared" ref="J296:P296" si="458">J282+J289</f>
        <v>13379.51</v>
      </c>
      <c r="K296" s="209">
        <f t="shared" si="458"/>
        <v>133682.75</v>
      </c>
      <c r="L296" s="209">
        <f t="shared" si="458"/>
        <v>1696.6</v>
      </c>
      <c r="M296" s="209">
        <f t="shared" si="458"/>
        <v>3174.92</v>
      </c>
      <c r="N296" s="209">
        <f t="shared" si="458"/>
        <v>20606.379999999997</v>
      </c>
      <c r="O296" s="209">
        <f t="shared" si="458"/>
        <v>8264.9900000000016</v>
      </c>
      <c r="P296" s="209">
        <f t="shared" si="458"/>
        <v>180805.15</v>
      </c>
      <c r="Q296" s="2"/>
      <c r="R296" s="236">
        <v>9.8620000000000001</v>
      </c>
      <c r="S296" s="236">
        <v>6.4180000000000001</v>
      </c>
      <c r="T296" s="236">
        <v>8.4860000000000007</v>
      </c>
      <c r="U296" s="236">
        <v>7.5659999999999998</v>
      </c>
      <c r="V296" s="236">
        <v>9.2409999999999997</v>
      </c>
      <c r="W296" s="236">
        <v>8.173</v>
      </c>
      <c r="X296" s="236">
        <v>7.1440000000000001</v>
      </c>
      <c r="Z296" s="199">
        <f t="shared" si="457"/>
        <v>0</v>
      </c>
      <c r="AA296" s="237">
        <v>0</v>
      </c>
      <c r="AB296" s="237">
        <v>97.286951941375108</v>
      </c>
      <c r="AC296" s="216" t="s">
        <v>67</v>
      </c>
      <c r="AF296" s="237"/>
      <c r="AG296" s="237"/>
      <c r="AH296" s="237"/>
      <c r="AJ296" s="11" t="s">
        <v>10</v>
      </c>
      <c r="AK296" s="286">
        <f t="shared" si="447"/>
        <v>0.36502938278123259</v>
      </c>
      <c r="AL296" s="286">
        <f t="shared" si="448"/>
        <v>0.56081755607601236</v>
      </c>
      <c r="AM296" s="286">
        <f t="shared" si="449"/>
        <v>0.42424957491064463</v>
      </c>
      <c r="AN296" s="286">
        <f t="shared" si="450"/>
        <v>0.47580123746107061</v>
      </c>
      <c r="AO296" s="286">
        <f t="shared" si="451"/>
        <v>0.3895786303186537</v>
      </c>
      <c r="AP296" s="286">
        <f t="shared" si="452"/>
        <v>0.44046136499920246</v>
      </c>
      <c r="AQ296" s="286">
        <f t="shared" si="453"/>
        <v>0.50595431541838687</v>
      </c>
    </row>
    <row r="297" spans="1:43">
      <c r="J297" s="177">
        <f t="shared" ref="J297:P297" si="459">J289/11.63</f>
        <v>6.4411006018916597</v>
      </c>
      <c r="K297" s="177">
        <f t="shared" si="459"/>
        <v>6688.8839208942391</v>
      </c>
      <c r="L297" s="177">
        <f t="shared" si="459"/>
        <v>143.49097162510748</v>
      </c>
      <c r="M297" s="177">
        <f t="shared" si="459"/>
        <v>182.60705073086842</v>
      </c>
      <c r="N297" s="177">
        <f t="shared" si="459"/>
        <v>1146.3284608770421</v>
      </c>
      <c r="O297" s="177">
        <f t="shared" si="459"/>
        <v>469.62252794496993</v>
      </c>
      <c r="P297" s="177">
        <f t="shared" si="459"/>
        <v>8637.3740326741172</v>
      </c>
      <c r="Z297" s="199">
        <f t="shared" si="457"/>
        <v>170.62171803501212</v>
      </c>
      <c r="AA297" s="237">
        <v>2.7039891923139798</v>
      </c>
      <c r="AB297" s="237">
        <v>63.1</v>
      </c>
      <c r="AC297" s="216" t="s">
        <v>69</v>
      </c>
      <c r="AF297" s="237"/>
      <c r="AG297" s="237"/>
      <c r="AH297" s="237"/>
    </row>
    <row r="298" spans="1:43">
      <c r="J298" s="56"/>
      <c r="K298" s="56">
        <f>SUM(K289:M289)/SUM(K296:M296)</f>
        <v>0.58882515854617834</v>
      </c>
      <c r="L298" s="56"/>
      <c r="M298" s="56"/>
      <c r="N298" s="56">
        <f>N289/N296</f>
        <v>0.64697438366175919</v>
      </c>
      <c r="O298" s="56">
        <f>O289/O296</f>
        <v>0.66082475598881552</v>
      </c>
      <c r="Z298" s="199">
        <f t="shared" si="457"/>
        <v>16441.770558888795</v>
      </c>
      <c r="AA298" s="237">
        <v>281.899110375107</v>
      </c>
      <c r="AB298" s="237">
        <v>58.325017546208898</v>
      </c>
      <c r="AC298" s="216" t="s">
        <v>70</v>
      </c>
      <c r="AF298" s="237"/>
      <c r="AG298" s="237"/>
      <c r="AH298" s="237"/>
      <c r="AJ298" s="68"/>
    </row>
    <row r="299" spans="1:43">
      <c r="J299" s="68" t="s">
        <v>189</v>
      </c>
      <c r="K299" s="56">
        <f>(SUM(K308:M308)/41.868)/SUM(K333:M333)</f>
        <v>0.74148017683969392</v>
      </c>
      <c r="L299" s="56"/>
      <c r="M299" s="56"/>
      <c r="N299" s="56">
        <f>(N308/41.868)/N333</f>
        <v>0.68344103464640005</v>
      </c>
      <c r="O299" s="56">
        <f>(O308/41.868)/O333</f>
        <v>0.757284805879886</v>
      </c>
      <c r="Z299" s="199">
        <f t="shared" si="457"/>
        <v>6649.5689826941643</v>
      </c>
      <c r="AA299" s="237">
        <v>89.737773045805199</v>
      </c>
      <c r="AB299" s="237">
        <v>74.099999999999994</v>
      </c>
      <c r="AC299" s="216" t="s">
        <v>71</v>
      </c>
      <c r="AF299" s="237"/>
      <c r="AG299" s="237"/>
      <c r="AH299" s="237"/>
      <c r="AJ299" s="68"/>
    </row>
    <row r="300" spans="1:43">
      <c r="A300" s="68" t="str">
        <f>$A$280</f>
        <v>Dati 2020 lorda</v>
      </c>
      <c r="J300" s="210" t="s">
        <v>5</v>
      </c>
      <c r="K300" s="210" t="s">
        <v>210</v>
      </c>
      <c r="L300" s="210" t="s">
        <v>211</v>
      </c>
      <c r="M300" s="210" t="s">
        <v>214</v>
      </c>
      <c r="N300" s="210" t="s">
        <v>216</v>
      </c>
      <c r="O300" s="210" t="s">
        <v>215</v>
      </c>
      <c r="P300" s="210" t="s">
        <v>213</v>
      </c>
      <c r="R300" s="68" t="s">
        <v>234</v>
      </c>
      <c r="Z300" s="199">
        <f t="shared" si="457"/>
        <v>0</v>
      </c>
      <c r="AA300" s="237">
        <v>0</v>
      </c>
      <c r="AB300" s="237">
        <v>74.099999999999994</v>
      </c>
      <c r="AC300" s="216" t="s">
        <v>72</v>
      </c>
      <c r="AF300" s="237"/>
      <c r="AG300" s="237"/>
      <c r="AH300" s="237"/>
      <c r="AJ300" s="68"/>
    </row>
    <row r="301" spans="1:43">
      <c r="A301" s="11" t="s">
        <v>17</v>
      </c>
      <c r="J301" s="209">
        <f t="shared" ref="J301:O301" si="460">SUM(J302:J306)</f>
        <v>131622.40780000002</v>
      </c>
      <c r="K301" s="209">
        <f t="shared" si="460"/>
        <v>381023.93231999996</v>
      </c>
      <c r="L301" s="209">
        <f t="shared" si="460"/>
        <v>263.73860000000002</v>
      </c>
      <c r="M301" s="209">
        <f t="shared" si="460"/>
        <v>11313.486000000001</v>
      </c>
      <c r="N301" s="209">
        <f t="shared" si="460"/>
        <v>81692.110160000011</v>
      </c>
      <c r="O301" s="209">
        <f t="shared" si="460"/>
        <v>27382.530640000001</v>
      </c>
      <c r="P301" s="212">
        <f t="shared" ref="P301:P306" si="461">SUM(J301:O301)</f>
        <v>633298.20551999996</v>
      </c>
      <c r="Q301" s="202"/>
      <c r="R301" s="209">
        <f t="shared" ref="R301:W301" si="462">SUM(R302:R306)</f>
        <v>12.374261414667387</v>
      </c>
      <c r="S301" s="209">
        <f t="shared" si="462"/>
        <v>22.061359949999432</v>
      </c>
      <c r="T301" s="209">
        <f t="shared" si="462"/>
        <v>4.2431680617619011E-2</v>
      </c>
      <c r="U301" s="209">
        <f t="shared" si="462"/>
        <v>0.76152540057500995</v>
      </c>
      <c r="V301" s="209">
        <f t="shared" si="462"/>
        <v>3.1582112501621031</v>
      </c>
      <c r="W301" s="209">
        <f t="shared" si="462"/>
        <v>3.1515774118774098E-2</v>
      </c>
      <c r="X301" s="220">
        <f>SUM(R301:W301)</f>
        <v>38.429305470140321</v>
      </c>
      <c r="Z301" s="199">
        <f t="shared" si="457"/>
        <v>18158.4906260272</v>
      </c>
      <c r="AA301" s="235">
        <v>236.77682838602072</v>
      </c>
      <c r="AB301" s="214">
        <v>76.690319529169244</v>
      </c>
      <c r="AC301" s="233" t="s">
        <v>73</v>
      </c>
      <c r="AJ301" s="68"/>
    </row>
    <row r="302" spans="1:43">
      <c r="A302" s="10" t="s">
        <v>18</v>
      </c>
      <c r="J302" s="197">
        <f t="shared" ref="J302:O306" si="463">IFERROR(J283*R283,"")</f>
        <v>0</v>
      </c>
      <c r="K302" s="197">
        <f t="shared" si="463"/>
        <v>2362.9365199999997</v>
      </c>
      <c r="L302" s="197">
        <f t="shared" si="463"/>
        <v>263.73860000000002</v>
      </c>
      <c r="M302" s="197">
        <f t="shared" si="463"/>
        <v>1729</v>
      </c>
      <c r="N302" s="197">
        <f t="shared" si="463"/>
        <v>12175.39286</v>
      </c>
      <c r="O302" s="197">
        <f t="shared" si="463"/>
        <v>27201.972740000001</v>
      </c>
      <c r="P302" s="212">
        <f t="shared" si="461"/>
        <v>43733.040720000005</v>
      </c>
      <c r="Q302" s="202"/>
      <c r="R302" s="211">
        <f t="shared" ref="R302:R307" si="464">J302*J$318/1000000</f>
        <v>0</v>
      </c>
      <c r="S302" s="211">
        <f t="shared" ref="S302:S307" si="465">K302*K$318/1000000</f>
        <v>0.13681448508840227</v>
      </c>
      <c r="T302" s="211">
        <f t="shared" ref="T302:T307" si="466">L302*L$318/1000000</f>
        <v>4.2431680617619011E-2</v>
      </c>
      <c r="U302" s="211">
        <f t="shared" ref="U302:U307" si="467">M302*M$318/1000000</f>
        <v>0.11638123011724169</v>
      </c>
      <c r="V302" s="211">
        <f t="shared" ref="V302:V307" si="468">N302*N$318/1000000</f>
        <v>0.47069983417350064</v>
      </c>
      <c r="W302" s="211">
        <f t="shared" ref="W302:W307" si="469">O302*O$318/1000000</f>
        <v>3.1307961989699082E-2</v>
      </c>
      <c r="X302" s="220">
        <f t="shared" ref="X302:X307" si="470">SUM(R302:W302)</f>
        <v>0.79763519198646271</v>
      </c>
      <c r="Z302" s="199"/>
      <c r="AA302" s="470" t="s">
        <v>239</v>
      </c>
      <c r="AB302" s="388"/>
      <c r="AC302" s="451"/>
      <c r="AJ302" s="68"/>
      <c r="AQ302" s="282"/>
    </row>
    <row r="303" spans="1:43">
      <c r="A303" s="10" t="s">
        <v>19</v>
      </c>
      <c r="J303" s="197">
        <f t="shared" si="463"/>
        <v>0</v>
      </c>
      <c r="K303" s="197">
        <f t="shared" si="463"/>
        <v>9186.2217999999993</v>
      </c>
      <c r="L303" s="197">
        <f t="shared" si="463"/>
        <v>0</v>
      </c>
      <c r="M303" s="197">
        <f t="shared" si="463"/>
        <v>105.0124</v>
      </c>
      <c r="N303" s="197">
        <f t="shared" si="463"/>
        <v>141.9128</v>
      </c>
      <c r="O303" s="197">
        <f t="shared" si="463"/>
        <v>5.6275000000000004</v>
      </c>
      <c r="P303" s="212">
        <f t="shared" si="461"/>
        <v>9438.7744999999995</v>
      </c>
      <c r="Q303" s="202"/>
      <c r="R303" s="211">
        <f t="shared" si="464"/>
        <v>0</v>
      </c>
      <c r="S303" s="211">
        <f t="shared" si="465"/>
        <v>0.53188403278597418</v>
      </c>
      <c r="T303" s="211">
        <f t="shared" si="466"/>
        <v>0</v>
      </c>
      <c r="U303" s="211">
        <f t="shared" si="467"/>
        <v>7.0685206995742232E-3</v>
      </c>
      <c r="V303" s="211">
        <f t="shared" si="468"/>
        <v>5.4863388964269668E-3</v>
      </c>
      <c r="W303" s="211">
        <f t="shared" si="469"/>
        <v>6.4769403962365553E-6</v>
      </c>
      <c r="X303" s="220">
        <f t="shared" si="470"/>
        <v>0.54444536932237153</v>
      </c>
      <c r="Z303" s="199">
        <f t="shared" ref="Z303:Z318" si="471">AA303*AB303</f>
        <v>0</v>
      </c>
      <c r="AA303" s="237">
        <v>0</v>
      </c>
      <c r="AB303" s="237">
        <v>63.1</v>
      </c>
      <c r="AC303" s="217" t="s">
        <v>219</v>
      </c>
      <c r="AF303" s="237"/>
      <c r="AG303" s="237"/>
      <c r="AH303" s="237"/>
      <c r="AJ303" s="68" t="s">
        <v>289</v>
      </c>
    </row>
    <row r="304" spans="1:43">
      <c r="A304" s="10" t="s">
        <v>20</v>
      </c>
      <c r="J304" s="197">
        <f t="shared" si="463"/>
        <v>131622.40780000002</v>
      </c>
      <c r="K304" s="197">
        <f t="shared" si="463"/>
        <v>4309.5450000000001</v>
      </c>
      <c r="L304" s="197">
        <f t="shared" si="463"/>
        <v>0</v>
      </c>
      <c r="M304" s="197">
        <f t="shared" si="463"/>
        <v>9427.1280000000006</v>
      </c>
      <c r="N304" s="197">
        <f t="shared" si="463"/>
        <v>56635.067000000003</v>
      </c>
      <c r="O304" s="197">
        <f t="shared" si="463"/>
        <v>76.874000000000009</v>
      </c>
      <c r="P304" s="212">
        <f t="shared" si="461"/>
        <v>202071.02180000005</v>
      </c>
      <c r="Q304" s="202"/>
      <c r="R304" s="211">
        <f>J304*J$318/1000000</f>
        <v>12.374261414667387</v>
      </c>
      <c r="S304" s="211">
        <f t="shared" si="465"/>
        <v>0.24952349551070402</v>
      </c>
      <c r="T304" s="211">
        <f t="shared" si="466"/>
        <v>0</v>
      </c>
      <c r="U304" s="211">
        <f t="shared" si="467"/>
        <v>0.63455219960248266</v>
      </c>
      <c r="V304" s="211">
        <f t="shared" si="468"/>
        <v>2.1895077187106962</v>
      </c>
      <c r="W304" s="211">
        <f t="shared" si="469"/>
        <v>8.8477710532259264E-5</v>
      </c>
      <c r="X304" s="220">
        <f t="shared" si="470"/>
        <v>15.447933306201802</v>
      </c>
      <c r="Z304" s="199">
        <f t="shared" si="471"/>
        <v>462.470332162349</v>
      </c>
      <c r="AA304" s="237">
        <v>6.040207941297</v>
      </c>
      <c r="AB304" s="237">
        <v>76.565299846787028</v>
      </c>
      <c r="AC304" s="217" t="s">
        <v>222</v>
      </c>
      <c r="AF304" s="237"/>
      <c r="AG304" s="237"/>
      <c r="AH304" s="237"/>
    </row>
    <row r="305" spans="1:43">
      <c r="A305" s="10" t="s">
        <v>21</v>
      </c>
      <c r="J305" s="197">
        <f t="shared" si="463"/>
        <v>0</v>
      </c>
      <c r="K305" s="197">
        <f t="shared" si="463"/>
        <v>365165.22899999999</v>
      </c>
      <c r="L305" s="197">
        <f t="shared" si="463"/>
        <v>0</v>
      </c>
      <c r="M305" s="197">
        <f t="shared" si="463"/>
        <v>52.345600000000005</v>
      </c>
      <c r="N305" s="197">
        <f t="shared" si="463"/>
        <v>12739.737500000001</v>
      </c>
      <c r="O305" s="197">
        <f t="shared" si="463"/>
        <v>98.056400000000011</v>
      </c>
      <c r="P305" s="212">
        <f t="shared" si="461"/>
        <v>378055.36849999998</v>
      </c>
      <c r="Q305" s="202"/>
      <c r="R305" s="211">
        <f t="shared" si="464"/>
        <v>0</v>
      </c>
      <c r="S305" s="211">
        <f t="shared" si="465"/>
        <v>21.143137936614352</v>
      </c>
      <c r="T305" s="211">
        <f t="shared" si="466"/>
        <v>0</v>
      </c>
      <c r="U305" s="211">
        <f t="shared" si="467"/>
        <v>3.5234501557114446E-3</v>
      </c>
      <c r="V305" s="211">
        <f t="shared" si="468"/>
        <v>0.4925173583814797</v>
      </c>
      <c r="W305" s="211">
        <f t="shared" si="469"/>
        <v>1.1285747814651802E-4</v>
      </c>
      <c r="X305" s="220">
        <f t="shared" si="470"/>
        <v>21.63929160262969</v>
      </c>
      <c r="Z305" s="199">
        <f t="shared" si="471"/>
        <v>4813.707257496706</v>
      </c>
      <c r="AA305" s="237">
        <v>94.771300162874496</v>
      </c>
      <c r="AB305" s="237">
        <v>50.792879798249487</v>
      </c>
      <c r="AC305" s="217" t="s">
        <v>223</v>
      </c>
      <c r="AF305" s="237"/>
      <c r="AG305" s="237"/>
      <c r="AH305" s="237"/>
      <c r="AJ305" s="11" t="s">
        <v>24</v>
      </c>
      <c r="AK305" s="286">
        <f t="shared" ref="AK305:AK311" si="472">IFERROR(((J289/11.63)+J326)/J333,"")</f>
        <v>0.87991160371620925</v>
      </c>
      <c r="AL305" s="286">
        <f t="shared" ref="AL305:AL311" si="473">IFERROR(((K289/11.63)+K326)/K333,"")</f>
        <v>0.66113864450125281</v>
      </c>
      <c r="AM305" s="286">
        <f t="shared" ref="AM305:AM311" si="474">IFERROR(((L289/11.63)+L326)/L333,"")</f>
        <v>0.51521711453109542</v>
      </c>
      <c r="AN305" s="286">
        <f t="shared" ref="AN305:AN311" si="475">IFERROR(((M289/11.63)+M326)/M333,"")</f>
        <v>0.78484319920089973</v>
      </c>
      <c r="AO305" s="286">
        <f t="shared" ref="AO305:AO311" si="476">IFERROR(((N289/11.63)+N326)/N333,"")</f>
        <v>0.57745003865470146</v>
      </c>
      <c r="AP305" s="286">
        <f t="shared" ref="AP305:AP311" si="477">IFERROR(((O289/11.63)+O326)/O333,"")</f>
        <v>0.58718597550375307</v>
      </c>
      <c r="AQ305" s="286">
        <f t="shared" ref="AQ305:AQ311" si="478">IFERROR(((P289/11.63)+P326)/P333,"")</f>
        <v>0.64389183397955718</v>
      </c>
    </row>
    <row r="306" spans="1:43">
      <c r="A306" s="10" t="s">
        <v>23</v>
      </c>
      <c r="J306" s="197">
        <f t="shared" si="463"/>
        <v>0</v>
      </c>
      <c r="K306" s="197">
        <f t="shared" si="463"/>
        <v>0</v>
      </c>
      <c r="L306" s="197">
        <f t="shared" si="463"/>
        <v>0</v>
      </c>
      <c r="M306" s="197">
        <f t="shared" si="463"/>
        <v>0</v>
      </c>
      <c r="N306" s="197">
        <f t="shared" si="463"/>
        <v>0</v>
      </c>
      <c r="O306" s="197">
        <f t="shared" si="463"/>
        <v>0</v>
      </c>
      <c r="P306" s="212">
        <f t="shared" si="461"/>
        <v>0</v>
      </c>
      <c r="Q306" s="202"/>
      <c r="R306" s="211">
        <f t="shared" si="464"/>
        <v>0</v>
      </c>
      <c r="S306" s="211">
        <f t="shared" si="465"/>
        <v>0</v>
      </c>
      <c r="T306" s="211">
        <f t="shared" si="466"/>
        <v>0</v>
      </c>
      <c r="U306" s="211">
        <f t="shared" si="467"/>
        <v>0</v>
      </c>
      <c r="V306" s="211">
        <f t="shared" si="468"/>
        <v>0</v>
      </c>
      <c r="W306" s="211">
        <f t="shared" si="469"/>
        <v>0</v>
      </c>
      <c r="X306" s="220">
        <f t="shared" si="470"/>
        <v>0</v>
      </c>
      <c r="Z306" s="199">
        <f t="shared" si="471"/>
        <v>94858.540824196563</v>
      </c>
      <c r="AA306" s="237">
        <v>1063.09862819871</v>
      </c>
      <c r="AB306" s="471">
        <v>89.228354085004042</v>
      </c>
      <c r="AC306" s="217" t="s">
        <v>236</v>
      </c>
      <c r="AF306" s="237"/>
      <c r="AG306" s="237"/>
      <c r="AH306" s="237"/>
      <c r="AJ306" s="10" t="s">
        <v>25</v>
      </c>
      <c r="AK306" s="56" t="str">
        <f t="shared" si="472"/>
        <v/>
      </c>
      <c r="AL306" s="56">
        <f t="shared" si="473"/>
        <v>0.70713197560190011</v>
      </c>
      <c r="AM306" s="56">
        <f t="shared" si="474"/>
        <v>0.64545809385889485</v>
      </c>
      <c r="AN306" s="56">
        <f t="shared" si="475"/>
        <v>0.73574897363544989</v>
      </c>
      <c r="AO306" s="56">
        <f t="shared" si="476"/>
        <v>0.6377265253202542</v>
      </c>
      <c r="AP306" s="56">
        <f t="shared" si="477"/>
        <v>0.58730573855057555</v>
      </c>
      <c r="AQ306" s="286">
        <f t="shared" si="478"/>
        <v>0.66042129920170833</v>
      </c>
    </row>
    <row r="307" spans="1:43">
      <c r="A307" s="10" t="s">
        <v>387</v>
      </c>
      <c r="J307" s="197"/>
      <c r="K307" s="197"/>
      <c r="L307" s="197"/>
      <c r="M307" s="197"/>
      <c r="N307" s="197"/>
      <c r="O307" s="197"/>
      <c r="P307" s="212"/>
      <c r="Q307" s="202"/>
      <c r="R307" s="211">
        <f t="shared" si="464"/>
        <v>0</v>
      </c>
      <c r="S307" s="211">
        <f t="shared" si="465"/>
        <v>0</v>
      </c>
      <c r="T307" s="211">
        <f t="shared" si="466"/>
        <v>0</v>
      </c>
      <c r="U307" s="211">
        <f t="shared" si="467"/>
        <v>0</v>
      </c>
      <c r="V307" s="211">
        <f t="shared" si="468"/>
        <v>0</v>
      </c>
      <c r="W307" s="211">
        <f t="shared" si="469"/>
        <v>0</v>
      </c>
      <c r="X307" s="220">
        <f t="shared" si="470"/>
        <v>0</v>
      </c>
      <c r="Z307" s="199">
        <f t="shared" si="471"/>
        <v>0</v>
      </c>
      <c r="AA307" s="237">
        <v>140.572001787315</v>
      </c>
      <c r="AB307" s="451">
        <v>0</v>
      </c>
      <c r="AC307" s="216" t="s">
        <v>224</v>
      </c>
      <c r="AJ307" s="10" t="s">
        <v>26</v>
      </c>
      <c r="AK307" s="56" t="str">
        <f t="shared" si="472"/>
        <v/>
      </c>
      <c r="AL307" s="56">
        <f t="shared" si="473"/>
        <v>0.74784464817561536</v>
      </c>
      <c r="AM307" s="56" t="str">
        <f t="shared" si="474"/>
        <v/>
      </c>
      <c r="AN307" s="56">
        <f t="shared" si="475"/>
        <v>0.81934425003784417</v>
      </c>
      <c r="AO307" s="56">
        <f t="shared" si="476"/>
        <v>0.72052105450950799</v>
      </c>
      <c r="AP307" s="56">
        <f t="shared" si="477"/>
        <v>0.61845801089137276</v>
      </c>
      <c r="AQ307" s="286">
        <f t="shared" si="478"/>
        <v>0.7545839220549474</v>
      </c>
    </row>
    <row r="308" spans="1:43">
      <c r="A308" s="11" t="s">
        <v>24</v>
      </c>
      <c r="J308" s="209">
        <f t="shared" ref="J308:O308" si="479">SUM(J309:J313)</f>
        <v>329.2604</v>
      </c>
      <c r="K308" s="209">
        <f t="shared" si="479"/>
        <v>477112.36314000003</v>
      </c>
      <c r="L308" s="209">
        <f t="shared" si="479"/>
        <v>14132.881600000001</v>
      </c>
      <c r="M308" s="209">
        <f t="shared" si="479"/>
        <v>12708.544839999999</v>
      </c>
      <c r="N308" s="209">
        <f t="shared" si="479"/>
        <v>108726.36310000002</v>
      </c>
      <c r="O308" s="209">
        <f t="shared" si="479"/>
        <v>40169.282900000006</v>
      </c>
      <c r="P308" s="298">
        <f t="shared" ref="P308:P313" si="480">SUM(J308:O308)</f>
        <v>653178.69598000008</v>
      </c>
      <c r="Q308" s="202"/>
      <c r="R308" s="209">
        <f t="shared" ref="R308:W308" si="481">SUM(R309:R313)</f>
        <v>3.0954868028921965E-2</v>
      </c>
      <c r="S308" s="209">
        <f t="shared" si="481"/>
        <v>27.624898823904886</v>
      </c>
      <c r="T308" s="209">
        <f t="shared" si="481"/>
        <v>2.2737737982146879</v>
      </c>
      <c r="U308" s="209">
        <f t="shared" si="481"/>
        <v>0.85542861855368679</v>
      </c>
      <c r="V308" s="209">
        <f t="shared" si="481"/>
        <v>4.2033535730573401</v>
      </c>
      <c r="W308" s="209">
        <f t="shared" si="481"/>
        <v>4.6232616810815509E-2</v>
      </c>
      <c r="X308" s="220">
        <f t="shared" ref="X308:X314" si="482">SUM(R308:W308)</f>
        <v>35.034642298570333</v>
      </c>
      <c r="Z308" s="199">
        <f t="shared" si="471"/>
        <v>0</v>
      </c>
      <c r="AA308" s="237">
        <v>635.27482792723197</v>
      </c>
      <c r="AB308" s="451">
        <v>0</v>
      </c>
      <c r="AC308" s="216" t="s">
        <v>225</v>
      </c>
      <c r="AJ308" s="10" t="s">
        <v>27</v>
      </c>
      <c r="AK308" s="56" t="str">
        <f t="shared" si="472"/>
        <v/>
      </c>
      <c r="AL308" s="56">
        <f t="shared" si="473"/>
        <v>0.64075455083463773</v>
      </c>
      <c r="AM308" s="56">
        <f t="shared" si="474"/>
        <v>0.53025568220556729</v>
      </c>
      <c r="AN308" s="56">
        <f t="shared" si="475"/>
        <v>0.74325013871699497</v>
      </c>
      <c r="AO308" s="56">
        <f t="shared" si="476"/>
        <v>0.64143723578770362</v>
      </c>
      <c r="AP308" s="56">
        <f t="shared" si="477"/>
        <v>0.56106287964940504</v>
      </c>
      <c r="AQ308" s="286">
        <f t="shared" si="478"/>
        <v>0.64247638845091237</v>
      </c>
    </row>
    <row r="309" spans="1:43">
      <c r="A309" s="10" t="s">
        <v>25</v>
      </c>
      <c r="J309" s="197">
        <f t="shared" ref="J309:O313" si="483">IFERROR(J290*R290,"")</f>
        <v>0</v>
      </c>
      <c r="K309" s="197">
        <f t="shared" si="483"/>
        <v>63222.637499999997</v>
      </c>
      <c r="L309" s="197">
        <f t="shared" si="483"/>
        <v>896.32600000000002</v>
      </c>
      <c r="M309" s="197">
        <f t="shared" si="483"/>
        <v>152.9177</v>
      </c>
      <c r="N309" s="197">
        <f t="shared" si="483"/>
        <v>15723.874</v>
      </c>
      <c r="O309" s="211">
        <f t="shared" si="483"/>
        <v>39902.525099999999</v>
      </c>
      <c r="P309" s="212">
        <f t="shared" si="480"/>
        <v>119898.2803</v>
      </c>
      <c r="Q309" s="202"/>
      <c r="R309" s="211">
        <f t="shared" ref="R309:R314" si="484">J309*J$318/1000000</f>
        <v>0</v>
      </c>
      <c r="S309" s="211">
        <f t="shared" ref="S309:W314" si="485">K309*K$318/1000000</f>
        <v>3.660603034521305</v>
      </c>
      <c r="T309" s="211">
        <f t="shared" si="485"/>
        <v>0.14420573462234187</v>
      </c>
      <c r="U309" s="211">
        <f t="shared" si="485"/>
        <v>1.029308850936919E-2</v>
      </c>
      <c r="V309" s="211">
        <f t="shared" si="485"/>
        <v>0.60788386621021273</v>
      </c>
      <c r="W309" s="211">
        <f t="shared" si="485"/>
        <v>4.5925593377526983E-2</v>
      </c>
      <c r="X309" s="220">
        <f t="shared" si="482"/>
        <v>4.4689113172407557</v>
      </c>
      <c r="Z309" s="199">
        <f t="shared" si="471"/>
        <v>0</v>
      </c>
      <c r="AA309" s="237">
        <v>0.13038940931165</v>
      </c>
      <c r="AB309" s="451">
        <v>0</v>
      </c>
      <c r="AC309" s="216" t="s">
        <v>148</v>
      </c>
      <c r="AJ309" s="10" t="s">
        <v>28</v>
      </c>
      <c r="AK309" s="56" t="str">
        <f t="shared" si="472"/>
        <v/>
      </c>
      <c r="AL309" s="56">
        <f t="shared" si="473"/>
        <v>0.85153725359738275</v>
      </c>
      <c r="AM309" s="56" t="str">
        <f t="shared" si="474"/>
        <v/>
      </c>
      <c r="AN309" s="56">
        <f t="shared" si="475"/>
        <v>0.84771197543544408</v>
      </c>
      <c r="AO309" s="56">
        <f t="shared" si="476"/>
        <v>0.76991767135122324</v>
      </c>
      <c r="AP309" s="56">
        <f t="shared" si="477"/>
        <v>0.18598452278589853</v>
      </c>
      <c r="AQ309" s="286">
        <f t="shared" si="478"/>
        <v>0.81774970158679017</v>
      </c>
    </row>
    <row r="310" spans="1:43">
      <c r="A310" s="10" t="s">
        <v>26</v>
      </c>
      <c r="J310" s="197">
        <f t="shared" si="483"/>
        <v>0</v>
      </c>
      <c r="K310" s="197">
        <f t="shared" si="483"/>
        <v>26462.863000000001</v>
      </c>
      <c r="L310" s="197">
        <f t="shared" si="483"/>
        <v>0</v>
      </c>
      <c r="M310" s="197">
        <f t="shared" si="483"/>
        <v>2315.25794</v>
      </c>
      <c r="N310" s="197">
        <f t="shared" si="483"/>
        <v>204.11600000000001</v>
      </c>
      <c r="O310" s="197">
        <f t="shared" si="483"/>
        <v>49.486699999999999</v>
      </c>
      <c r="P310" s="212">
        <f t="shared" si="480"/>
        <v>29031.723640000004</v>
      </c>
      <c r="Q310" s="202"/>
      <c r="R310" s="211">
        <f t="shared" si="484"/>
        <v>0</v>
      </c>
      <c r="S310" s="211">
        <f t="shared" si="485"/>
        <v>1.5322049258055956</v>
      </c>
      <c r="T310" s="211">
        <f t="shared" si="485"/>
        <v>0</v>
      </c>
      <c r="U310" s="211">
        <f t="shared" si="485"/>
        <v>0.15584301162285191</v>
      </c>
      <c r="V310" s="211">
        <f t="shared" si="485"/>
        <v>7.8911102464547713E-3</v>
      </c>
      <c r="W310" s="211">
        <f t="shared" si="485"/>
        <v>5.6956447144636071E-5</v>
      </c>
      <c r="X310" s="220">
        <f t="shared" si="482"/>
        <v>1.695996004122047</v>
      </c>
      <c r="Z310" s="199">
        <f t="shared" si="471"/>
        <v>0</v>
      </c>
      <c r="AA310" s="237">
        <v>2.1957245053413899</v>
      </c>
      <c r="AB310" s="237">
        <v>0</v>
      </c>
      <c r="AC310" s="216" t="s">
        <v>142</v>
      </c>
      <c r="AJ310" s="10" t="s">
        <v>29</v>
      </c>
      <c r="AK310" s="56">
        <f t="shared" si="472"/>
        <v>0.87988538892267698</v>
      </c>
      <c r="AL310" s="56">
        <f t="shared" si="473"/>
        <v>0.55581433476404962</v>
      </c>
      <c r="AM310" s="56">
        <f t="shared" si="474"/>
        <v>0.47126580017529213</v>
      </c>
      <c r="AN310" s="56">
        <f t="shared" si="475"/>
        <v>0.86982133271259798</v>
      </c>
      <c r="AO310" s="56">
        <f t="shared" si="476"/>
        <v>0.49024760441148574</v>
      </c>
      <c r="AP310" s="56">
        <f t="shared" si="477"/>
        <v>0.48645743766122101</v>
      </c>
      <c r="AQ310" s="286">
        <f t="shared" si="478"/>
        <v>0.51966295686348529</v>
      </c>
    </row>
    <row r="311" spans="1:43">
      <c r="A311" s="10" t="s">
        <v>27</v>
      </c>
      <c r="J311" s="197">
        <f t="shared" si="483"/>
        <v>0</v>
      </c>
      <c r="K311" s="197">
        <f t="shared" si="483"/>
        <v>376210.54239999998</v>
      </c>
      <c r="L311" s="197">
        <f t="shared" si="483"/>
        <v>7457.5619999999999</v>
      </c>
      <c r="M311" s="197">
        <f t="shared" si="483"/>
        <v>8571.1742999999988</v>
      </c>
      <c r="N311" s="197">
        <f t="shared" si="483"/>
        <v>39236.607500000006</v>
      </c>
      <c r="O311" s="197">
        <f t="shared" si="483"/>
        <v>204.39449999999999</v>
      </c>
      <c r="P311" s="212">
        <f t="shared" si="480"/>
        <v>431680.28069999994</v>
      </c>
      <c r="Q311" s="202"/>
      <c r="R311" s="211">
        <f t="shared" si="484"/>
        <v>0</v>
      </c>
      <c r="S311" s="211">
        <f t="shared" si="485"/>
        <v>21.782663735411958</v>
      </c>
      <c r="T311" s="211">
        <f t="shared" si="485"/>
        <v>1.1998125756718661</v>
      </c>
      <c r="U311" s="211">
        <f t="shared" si="485"/>
        <v>0.57693684706957082</v>
      </c>
      <c r="V311" s="211">
        <f t="shared" si="485"/>
        <v>1.5168844945000597</v>
      </c>
      <c r="W311" s="211">
        <f t="shared" si="485"/>
        <v>2.3524673368610795E-4</v>
      </c>
      <c r="X311" s="220">
        <f t="shared" si="482"/>
        <v>25.076532899387146</v>
      </c>
      <c r="Z311" s="199">
        <f t="shared" si="471"/>
        <v>0</v>
      </c>
      <c r="AA311" s="456"/>
      <c r="AB311" s="388"/>
      <c r="AC311" s="216" t="s">
        <v>145</v>
      </c>
      <c r="AJ311" s="10" t="s">
        <v>389</v>
      </c>
      <c r="AK311" s="56" t="str">
        <f t="shared" si="472"/>
        <v/>
      </c>
      <c r="AL311" s="56">
        <f t="shared" si="473"/>
        <v>0.25795356835769556</v>
      </c>
      <c r="AM311" s="56" t="str">
        <f t="shared" si="474"/>
        <v/>
      </c>
      <c r="AN311" s="56" t="str">
        <f t="shared" si="475"/>
        <v/>
      </c>
      <c r="AO311" s="56" t="str">
        <f t="shared" si="476"/>
        <v/>
      </c>
      <c r="AP311" s="56" t="str">
        <f t="shared" si="477"/>
        <v/>
      </c>
      <c r="AQ311" s="286">
        <f t="shared" si="478"/>
        <v>0.34393809114359414</v>
      </c>
    </row>
    <row r="312" spans="1:43">
      <c r="A312" s="10" t="s">
        <v>28</v>
      </c>
      <c r="J312" s="197">
        <f t="shared" si="483"/>
        <v>0</v>
      </c>
      <c r="K312" s="197">
        <f t="shared" si="483"/>
        <v>2708.6969200000003</v>
      </c>
      <c r="L312" s="197">
        <f t="shared" si="483"/>
        <v>0</v>
      </c>
      <c r="M312" s="197">
        <f t="shared" si="483"/>
        <v>843.83749999999998</v>
      </c>
      <c r="N312" s="197">
        <f t="shared" si="483"/>
        <v>3818.8032000000003</v>
      </c>
      <c r="O312" s="197">
        <f t="shared" si="483"/>
        <v>0</v>
      </c>
      <c r="P312" s="212">
        <f t="shared" si="480"/>
        <v>7371.3376200000002</v>
      </c>
      <c r="Q312" s="202"/>
      <c r="R312" s="211">
        <f t="shared" si="484"/>
        <v>0</v>
      </c>
      <c r="S312" s="211">
        <f t="shared" si="485"/>
        <v>0.15683407964355353</v>
      </c>
      <c r="T312" s="211">
        <f t="shared" si="485"/>
        <v>0</v>
      </c>
      <c r="U312" s="211">
        <f t="shared" si="485"/>
        <v>5.6799795412988976E-2</v>
      </c>
      <c r="V312" s="211">
        <f t="shared" si="485"/>
        <v>0.1476346639200958</v>
      </c>
      <c r="W312" s="211">
        <f t="shared" si="485"/>
        <v>0</v>
      </c>
      <c r="X312" s="220">
        <f t="shared" si="482"/>
        <v>0.36126853897663835</v>
      </c>
      <c r="Z312" s="199">
        <f t="shared" si="471"/>
        <v>0</v>
      </c>
      <c r="AA312" s="237">
        <v>12.822034073781699</v>
      </c>
      <c r="AB312" s="237">
        <v>0</v>
      </c>
      <c r="AC312" s="216" t="s">
        <v>143</v>
      </c>
      <c r="AF312" s="215"/>
      <c r="AG312" s="237"/>
      <c r="AH312" s="237"/>
      <c r="AJ312" s="308" t="s">
        <v>290</v>
      </c>
      <c r="AK312" s="307">
        <f t="shared" ref="AK312:AQ312" si="486">IFERROR(((J296/11.63)+J326)/(J333+J301/41.868),"")</f>
        <v>0.36922189671573852</v>
      </c>
      <c r="AL312" s="307">
        <f t="shared" si="486"/>
        <v>0.61095232135927002</v>
      </c>
      <c r="AM312" s="307">
        <f t="shared" si="486"/>
        <v>0.51319552395034929</v>
      </c>
      <c r="AN312" s="307">
        <f t="shared" si="486"/>
        <v>0.66977016056838745</v>
      </c>
      <c r="AO312" s="307">
        <f t="shared" si="486"/>
        <v>0.49029691183370061</v>
      </c>
      <c r="AP312" s="307">
        <f t="shared" si="486"/>
        <v>0.51274731792560246</v>
      </c>
      <c r="AQ312" s="307">
        <f t="shared" si="486"/>
        <v>0.5662569852912902</v>
      </c>
    </row>
    <row r="313" spans="1:43">
      <c r="A313" s="10" t="s">
        <v>29</v>
      </c>
      <c r="J313" s="197">
        <f t="shared" si="483"/>
        <v>329.2604</v>
      </c>
      <c r="K313" s="197">
        <f t="shared" si="483"/>
        <v>8507.6233200000006</v>
      </c>
      <c r="L313" s="197">
        <f t="shared" si="483"/>
        <v>5778.9936000000007</v>
      </c>
      <c r="M313" s="197">
        <f t="shared" si="483"/>
        <v>825.35739999999998</v>
      </c>
      <c r="N313" s="197">
        <f t="shared" si="483"/>
        <v>49742.962400000004</v>
      </c>
      <c r="O313" s="197">
        <f t="shared" si="483"/>
        <v>12.8766</v>
      </c>
      <c r="P313" s="212">
        <f t="shared" si="480"/>
        <v>65197.073720000008</v>
      </c>
      <c r="Q313" s="202"/>
      <c r="R313" s="211">
        <f t="shared" si="484"/>
        <v>3.0954868028921965E-2</v>
      </c>
      <c r="S313" s="211">
        <f t="shared" si="485"/>
        <v>0.49259304852247304</v>
      </c>
      <c r="T313" s="211">
        <f t="shared" si="485"/>
        <v>0.92975548792048002</v>
      </c>
      <c r="U313" s="211">
        <f t="shared" si="485"/>
        <v>5.5555875938905895E-2</v>
      </c>
      <c r="V313" s="211">
        <f t="shared" si="485"/>
        <v>1.9230594381805173</v>
      </c>
      <c r="W313" s="211">
        <f t="shared" si="485"/>
        <v>1.482025245778403E-5</v>
      </c>
      <c r="X313" s="220">
        <f t="shared" si="482"/>
        <v>3.4319335388437557</v>
      </c>
      <c r="Z313" s="199">
        <f t="shared" si="471"/>
        <v>0</v>
      </c>
      <c r="AA313" s="237">
        <v>1186.79385640904</v>
      </c>
      <c r="AB313" s="237">
        <v>0</v>
      </c>
      <c r="AC313" s="216" t="s">
        <v>231</v>
      </c>
      <c r="AF313" s="215"/>
      <c r="AG313" s="237"/>
      <c r="AH313" s="237"/>
    </row>
    <row r="314" spans="1:43">
      <c r="A314" s="10" t="s">
        <v>389</v>
      </c>
      <c r="J314" s="197"/>
      <c r="K314" s="197"/>
      <c r="L314" s="197"/>
      <c r="M314" s="197"/>
      <c r="N314" s="197"/>
      <c r="O314" s="197"/>
      <c r="P314" s="212"/>
      <c r="Q314" s="202"/>
      <c r="R314" s="211">
        <f t="shared" si="484"/>
        <v>0</v>
      </c>
      <c r="S314" s="211">
        <f t="shared" si="485"/>
        <v>0</v>
      </c>
      <c r="T314" s="211">
        <f t="shared" si="485"/>
        <v>0</v>
      </c>
      <c r="U314" s="211">
        <f t="shared" si="485"/>
        <v>0</v>
      </c>
      <c r="V314" s="211">
        <f t="shared" si="485"/>
        <v>0</v>
      </c>
      <c r="W314" s="211">
        <f t="shared" si="485"/>
        <v>0</v>
      </c>
      <c r="X314" s="220">
        <f t="shared" si="482"/>
        <v>0</v>
      </c>
      <c r="Z314" s="199">
        <f t="shared" si="471"/>
        <v>9673.5158950721743</v>
      </c>
      <c r="AA314" s="237">
        <v>198.006515159402</v>
      </c>
      <c r="AB314" s="237">
        <v>48.854533333333322</v>
      </c>
      <c r="AC314" s="219" t="s">
        <v>144</v>
      </c>
      <c r="AF314" s="215"/>
      <c r="AG314" s="237"/>
      <c r="AH314" s="237"/>
    </row>
    <row r="315" spans="1:43">
      <c r="A315" s="11" t="s">
        <v>10</v>
      </c>
      <c r="J315" s="212">
        <f t="shared" ref="J315:P315" si="487">J301+J308</f>
        <v>131951.66820000001</v>
      </c>
      <c r="K315" s="212">
        <f t="shared" si="487"/>
        <v>858136.29545999994</v>
      </c>
      <c r="L315" s="212">
        <f t="shared" si="487"/>
        <v>14396.620200000001</v>
      </c>
      <c r="M315" s="212">
        <f t="shared" si="487"/>
        <v>24022.030839999999</v>
      </c>
      <c r="N315" s="212">
        <f t="shared" si="487"/>
        <v>190418.47326000003</v>
      </c>
      <c r="O315" s="212">
        <f t="shared" si="487"/>
        <v>67551.813540000003</v>
      </c>
      <c r="P315" s="212">
        <f t="shared" si="487"/>
        <v>1286476.9015000002</v>
      </c>
      <c r="Q315" s="202"/>
      <c r="R315" s="229">
        <f t="shared" ref="R315:W315" si="488">R301+R308</f>
        <v>12.405216282696308</v>
      </c>
      <c r="S315" s="229">
        <f t="shared" si="488"/>
        <v>49.686258773904314</v>
      </c>
      <c r="T315" s="229">
        <f t="shared" si="488"/>
        <v>2.3162054788323068</v>
      </c>
      <c r="U315" s="229">
        <f t="shared" si="488"/>
        <v>1.6169540191286966</v>
      </c>
      <c r="V315" s="229">
        <f t="shared" si="488"/>
        <v>7.3615648232194433</v>
      </c>
      <c r="W315" s="229">
        <f t="shared" si="488"/>
        <v>7.77483909295896E-2</v>
      </c>
      <c r="X315" s="229">
        <f>X301+X308</f>
        <v>73.463947768710653</v>
      </c>
      <c r="Z315" s="199">
        <f t="shared" si="471"/>
        <v>0</v>
      </c>
      <c r="AA315" s="237">
        <v>10.9545124173478</v>
      </c>
      <c r="AB315" s="237">
        <v>0</v>
      </c>
      <c r="AC315" s="216" t="s">
        <v>146</v>
      </c>
      <c r="AF315" s="215"/>
      <c r="AG315" s="237"/>
      <c r="AH315" s="237"/>
    </row>
    <row r="316" spans="1:43">
      <c r="E316" s="68" t="s">
        <v>200</v>
      </c>
      <c r="F316" s="68"/>
      <c r="G316" s="68"/>
      <c r="H316" s="68"/>
      <c r="I316" s="68"/>
      <c r="J316" s="367">
        <f>J315/41.868</f>
        <v>3151.6114502722844</v>
      </c>
      <c r="K316" s="367">
        <f t="shared" ref="K316:P316" si="489">K315/41.868</f>
        <v>20496.233291774144</v>
      </c>
      <c r="L316" s="367">
        <f t="shared" si="489"/>
        <v>343.85736600745201</v>
      </c>
      <c r="M316" s="367">
        <f t="shared" si="489"/>
        <v>573.75634947931587</v>
      </c>
      <c r="N316" s="367">
        <f t="shared" si="489"/>
        <v>4548.0670980223567</v>
      </c>
      <c r="O316" s="367">
        <f t="shared" si="489"/>
        <v>1613.4473473774719</v>
      </c>
      <c r="P316" s="367">
        <f t="shared" si="489"/>
        <v>30726.97290293303</v>
      </c>
      <c r="R316" s="227">
        <v>12.405216282696305</v>
      </c>
      <c r="S316" s="227">
        <v>49.686258773904321</v>
      </c>
      <c r="T316" s="227">
        <v>2.3162054788323063</v>
      </c>
      <c r="U316" s="227">
        <v>1.6169540191286966</v>
      </c>
      <c r="V316" s="227">
        <v>7.3615646582837648</v>
      </c>
      <c r="W316" s="227">
        <v>7.7748390929589656E-2</v>
      </c>
      <c r="X316" s="227">
        <v>73.463947603774983</v>
      </c>
      <c r="Z316" s="199">
        <f t="shared" si="471"/>
        <v>3448.5618747878443</v>
      </c>
      <c r="AA316" s="237">
        <v>24.115817306208701</v>
      </c>
      <c r="AB316" s="237">
        <v>143</v>
      </c>
      <c r="AC316" s="216" t="s">
        <v>147</v>
      </c>
      <c r="AF316" s="215"/>
      <c r="AG316" s="237"/>
      <c r="AH316" s="237"/>
    </row>
    <row r="317" spans="1:43">
      <c r="J317" s="367">
        <f>(J301)/41.868+J333</f>
        <v>3176.5472007260919</v>
      </c>
      <c r="K317" s="367">
        <f t="shared" ref="K317:P317" si="490">(K301)/41.868+K333</f>
        <v>24129.980275150472</v>
      </c>
      <c r="L317" s="367">
        <f t="shared" si="490"/>
        <v>422.99928823922806</v>
      </c>
      <c r="M317" s="367">
        <f t="shared" si="490"/>
        <v>1057.5179707652624</v>
      </c>
      <c r="N317" s="367">
        <f t="shared" si="490"/>
        <v>5750.9025298557372</v>
      </c>
      <c r="O317" s="367">
        <f t="shared" si="490"/>
        <v>1920.950508264068</v>
      </c>
      <c r="P317" s="367">
        <f t="shared" si="490"/>
        <v>36458.897773000863</v>
      </c>
      <c r="T317" s="227"/>
      <c r="U317" s="228"/>
      <c r="Z317" s="199">
        <f t="shared" si="471"/>
        <v>0</v>
      </c>
      <c r="AA317" s="237"/>
      <c r="AB317" s="237">
        <v>45.85</v>
      </c>
      <c r="AC317" s="216" t="s">
        <v>232</v>
      </c>
      <c r="AF317" s="215"/>
      <c r="AG317" s="237"/>
      <c r="AH317" s="237"/>
    </row>
    <row r="318" spans="1:43">
      <c r="A318" s="213" t="s">
        <v>217</v>
      </c>
      <c r="J318" s="198">
        <f>95+J319</f>
        <v>94.013334214870554</v>
      </c>
      <c r="K318" s="215">
        <f>56+K319</f>
        <v>57.900194918652439</v>
      </c>
      <c r="L318" s="177">
        <f>177+L319</f>
        <v>160.88536383229078</v>
      </c>
      <c r="M318" s="198">
        <f>68+M319</f>
        <v>67.311295614367666</v>
      </c>
      <c r="N318" s="198">
        <f>36+N319</f>
        <v>38.659929875437356</v>
      </c>
      <c r="O318" s="198">
        <f>1+O319</f>
        <v>1.1509445395355939</v>
      </c>
      <c r="P318" s="363">
        <f>P308/41.868</f>
        <v>15600.905129932169</v>
      </c>
      <c r="Q318" s="90">
        <f>P318-'5-x'!Z82</f>
        <v>0</v>
      </c>
      <c r="Z318" s="199">
        <f t="shared" si="471"/>
        <v>55432.377160488453</v>
      </c>
      <c r="AA318" s="237">
        <v>1208.99404930182</v>
      </c>
      <c r="AB318" s="237">
        <v>45.85</v>
      </c>
      <c r="AC318" s="216" t="s">
        <v>233</v>
      </c>
      <c r="AF318" s="215"/>
      <c r="AG318" s="237"/>
      <c r="AH318" s="237"/>
    </row>
    <row r="319" spans="1:43">
      <c r="A319" s="504" t="s">
        <v>415</v>
      </c>
      <c r="B319" s="503"/>
      <c r="C319" s="503"/>
      <c r="D319" s="503"/>
      <c r="E319" s="503"/>
      <c r="F319" s="503"/>
      <c r="G319" s="503"/>
      <c r="H319" s="503"/>
      <c r="I319" s="503"/>
      <c r="J319" s="564">
        <v>-0.9866657851294498</v>
      </c>
      <c r="K319" s="564">
        <v>1.9001949186524407</v>
      </c>
      <c r="L319" s="564">
        <v>-16.114636167709214</v>
      </c>
      <c r="M319" s="564">
        <v>-0.6887043856323285</v>
      </c>
      <c r="N319" s="564">
        <v>2.6599298754373533</v>
      </c>
      <c r="O319" s="564">
        <v>0.15094453953559395</v>
      </c>
      <c r="P319" s="364">
        <f>P301/41.868</f>
        <v>15126.067773000857</v>
      </c>
      <c r="Q319" s="90">
        <f>P319-'5-x'!Z83</f>
        <v>0</v>
      </c>
      <c r="R319" s="506">
        <f>R315-R316</f>
        <v>0</v>
      </c>
      <c r="S319" s="506">
        <f>S315-S316</f>
        <v>0</v>
      </c>
      <c r="T319" s="506">
        <f>T315-SUM(T316:T317)</f>
        <v>0</v>
      </c>
      <c r="U319" s="506">
        <f>U315-U316</f>
        <v>0</v>
      </c>
      <c r="V319" s="857">
        <f>V315-V316</f>
        <v>1.6493567844833024E-7</v>
      </c>
      <c r="W319" s="506">
        <f>W315-W316</f>
        <v>0</v>
      </c>
      <c r="X319" s="252">
        <f>X315-X316</f>
        <v>1.6493567045472446E-7</v>
      </c>
      <c r="AA319" s="470" t="s">
        <v>240</v>
      </c>
      <c r="AB319" s="388"/>
      <c r="AC319" s="451"/>
    </row>
    <row r="320" spans="1:43">
      <c r="J320" s="198">
        <f t="shared" ref="J320:O320" si="491">J410</f>
        <v>95.27642406519908</v>
      </c>
      <c r="K320" s="198">
        <f t="shared" si="491"/>
        <v>57.748113668589021</v>
      </c>
      <c r="L320" s="198">
        <f t="shared" si="491"/>
        <v>167.3113263452903</v>
      </c>
      <c r="M320" s="198">
        <f t="shared" si="491"/>
        <v>66.910157336666472</v>
      </c>
      <c r="N320" s="198">
        <f t="shared" si="491"/>
        <v>39.623721757667383</v>
      </c>
      <c r="O320" s="198">
        <f t="shared" si="491"/>
        <v>1.0724959934474365</v>
      </c>
      <c r="P320" s="365">
        <f>P333-P318</f>
        <v>5731.9248700678327</v>
      </c>
      <c r="Q320" s="90">
        <f>P320-'5-x'!Z84</f>
        <v>0</v>
      </c>
      <c r="Z320" s="199">
        <f>AA320*AB320</f>
        <v>1787.01468046592</v>
      </c>
      <c r="AA320" s="237">
        <v>20.047243317394699</v>
      </c>
      <c r="AB320" s="214">
        <v>89.140170155731766</v>
      </c>
      <c r="AC320" s="217" t="s">
        <v>221</v>
      </c>
    </row>
    <row r="321" spans="1:34">
      <c r="J321" s="198">
        <f t="shared" ref="J321:O321" si="492">J308/41.868</f>
        <v>7.8642495461927959</v>
      </c>
      <c r="K321" s="198">
        <f t="shared" si="492"/>
        <v>11395.633016623675</v>
      </c>
      <c r="L321" s="198">
        <f t="shared" si="492"/>
        <v>337.55807776822394</v>
      </c>
      <c r="M321" s="198">
        <f t="shared" si="492"/>
        <v>303.53837871405364</v>
      </c>
      <c r="N321" s="198">
        <f t="shared" si="492"/>
        <v>2596.8845681666194</v>
      </c>
      <c r="O321" s="198">
        <f t="shared" si="492"/>
        <v>959.42683911340407</v>
      </c>
      <c r="P321" s="366">
        <f>SUM(P318:P320)</f>
        <v>36458.897773000863</v>
      </c>
      <c r="Q321" s="366"/>
      <c r="Z321" s="199">
        <f>AA321*AB321</f>
        <v>0</v>
      </c>
      <c r="AA321" s="237">
        <v>1023.1642011512999</v>
      </c>
      <c r="AB321" s="237">
        <v>0</v>
      </c>
      <c r="AC321" s="216" t="s">
        <v>226</v>
      </c>
    </row>
    <row r="322" spans="1:34">
      <c r="J322" s="198">
        <f t="shared" ref="J322:O322" si="493">J333-(J326/J323)</f>
        <v>7.864249546192795</v>
      </c>
      <c r="K322" s="198">
        <f t="shared" si="493"/>
        <v>11395.633016623675</v>
      </c>
      <c r="L322" s="198">
        <f t="shared" si="493"/>
        <v>337.55807776822394</v>
      </c>
      <c r="M322" s="198">
        <f t="shared" si="493"/>
        <v>303.53837871405364</v>
      </c>
      <c r="N322" s="198">
        <f t="shared" si="493"/>
        <v>2596.8845681666194</v>
      </c>
      <c r="O322" s="198">
        <f t="shared" si="493"/>
        <v>959.42683911340407</v>
      </c>
      <c r="P322" s="198"/>
      <c r="Z322" s="199"/>
      <c r="AA322" s="237"/>
      <c r="AB322" s="237">
        <v>0</v>
      </c>
      <c r="AC322" s="216" t="s">
        <v>227</v>
      </c>
    </row>
    <row r="323" spans="1:34">
      <c r="A323" s="271" t="s">
        <v>413</v>
      </c>
      <c r="J323" s="558">
        <f>J326/(J333-J308/41.868)</f>
        <v>0.89911069817338929</v>
      </c>
      <c r="K323" s="558">
        <f t="shared" ref="K323:P323" si="494">K326/(K333-K308/41.868)</f>
        <v>0.89373861605037974</v>
      </c>
      <c r="L323" s="558">
        <f t="shared" si="494"/>
        <v>0.89964961669092103</v>
      </c>
      <c r="M323" s="558">
        <f t="shared" si="494"/>
        <v>0.89982334448705414</v>
      </c>
      <c r="N323" s="558">
        <f t="shared" si="494"/>
        <v>0.87112498706734653</v>
      </c>
      <c r="O323" s="558">
        <f t="shared" si="494"/>
        <v>0.89202660294330882</v>
      </c>
      <c r="P323" s="558">
        <f t="shared" si="494"/>
        <v>0.88951985861246341</v>
      </c>
      <c r="Z323" s="199">
        <f>AA323*AB323</f>
        <v>0</v>
      </c>
      <c r="AA323" s="237">
        <v>230.80747822259599</v>
      </c>
      <c r="AB323" s="237">
        <v>0</v>
      </c>
      <c r="AC323" s="216" t="s">
        <v>150</v>
      </c>
    </row>
    <row r="324" spans="1:34">
      <c r="A324" s="68" t="s">
        <v>276</v>
      </c>
      <c r="J324" s="198"/>
      <c r="K324" s="198"/>
      <c r="L324" s="558">
        <f>IFERROR(SUM(K326:M326)/(SUM(K333:M333)-SUM(K308:M308)/41.868),"")</f>
        <v>0.89455149432669889</v>
      </c>
      <c r="P324" s="198"/>
      <c r="R324" s="221" t="s">
        <v>438</v>
      </c>
      <c r="S324" s="195"/>
      <c r="T324" s="195"/>
      <c r="U324" s="195"/>
      <c r="V324" s="195"/>
      <c r="W324" s="195"/>
      <c r="X324" s="195"/>
      <c r="Z324" s="199">
        <f>AA324*AB324</f>
        <v>0</v>
      </c>
      <c r="AA324" s="237">
        <v>22.646333322059601</v>
      </c>
      <c r="AB324" s="237">
        <v>0</v>
      </c>
      <c r="AC324" s="216" t="s">
        <v>151</v>
      </c>
    </row>
    <row r="325" spans="1:34">
      <c r="A325" s="68" t="str">
        <f>$A$280</f>
        <v>Dati 2020 lorda</v>
      </c>
      <c r="J325" s="210" t="s">
        <v>5</v>
      </c>
      <c r="K325" s="210" t="s">
        <v>210</v>
      </c>
      <c r="L325" s="210" t="s">
        <v>211</v>
      </c>
      <c r="M325" s="210" t="s">
        <v>214</v>
      </c>
      <c r="N325" s="210" t="s">
        <v>216</v>
      </c>
      <c r="O325" s="210" t="s">
        <v>215</v>
      </c>
      <c r="P325" s="210" t="s">
        <v>213</v>
      </c>
      <c r="R325" s="221" t="s">
        <v>5</v>
      </c>
      <c r="S325" s="221" t="s">
        <v>210</v>
      </c>
      <c r="T325" s="221" t="s">
        <v>211</v>
      </c>
      <c r="U325" s="221" t="s">
        <v>214</v>
      </c>
      <c r="V325" s="221" t="s">
        <v>216</v>
      </c>
      <c r="W325" s="221" t="s">
        <v>215</v>
      </c>
      <c r="X325" s="221" t="s">
        <v>213</v>
      </c>
      <c r="Z325" s="199">
        <f>AA325*AB325</f>
        <v>0</v>
      </c>
      <c r="AA325" s="237">
        <v>5.2445582966387096</v>
      </c>
      <c r="AB325" s="237">
        <v>0</v>
      </c>
      <c r="AC325" s="218" t="s">
        <v>153</v>
      </c>
    </row>
    <row r="326" spans="1:34">
      <c r="A326" s="223" t="s">
        <v>275</v>
      </c>
      <c r="J326" s="209">
        <f t="shared" ref="J326:O326" si="495">SUM(J327:J332)</f>
        <v>22.42</v>
      </c>
      <c r="K326" s="209">
        <f t="shared" si="495"/>
        <v>3247.62</v>
      </c>
      <c r="L326" s="209">
        <f t="shared" si="495"/>
        <v>71.2</v>
      </c>
      <c r="M326" s="209">
        <f t="shared" si="495"/>
        <v>435.3</v>
      </c>
      <c r="N326" s="209">
        <f t="shared" si="495"/>
        <v>1047.8200000000002</v>
      </c>
      <c r="O326" s="209">
        <f t="shared" si="495"/>
        <v>274.30099999999999</v>
      </c>
      <c r="P326" s="298">
        <f>SUM(J326:O326)</f>
        <v>5098.661000000001</v>
      </c>
      <c r="Q326" s="223" t="s">
        <v>17</v>
      </c>
      <c r="R326" s="316">
        <f t="shared" ref="R326:R339" si="496">IFERROR(R301/J282*1000000,0)</f>
        <v>930.07391538771458</v>
      </c>
      <c r="S326" s="316">
        <f t="shared" ref="S326:S339" si="497">IFERROR(S301/K282*1000000,0)</f>
        <v>394.7209409094703</v>
      </c>
      <c r="T326" s="316">
        <f t="shared" ref="T326:T339" si="498">IFERROR(T301/L282*1000000,0)</f>
        <v>1526.3194466769428</v>
      </c>
      <c r="U326" s="316">
        <f t="shared" ref="U326:U339" si="499">IFERROR(U301/M282*1000000,0)</f>
        <v>724.43436127759696</v>
      </c>
      <c r="V326" s="316">
        <f t="shared" ref="V326:V339" si="500">IFERROR(V301/N282*1000000,0)</f>
        <v>434.14344885369371</v>
      </c>
      <c r="W326" s="316">
        <f t="shared" ref="W326:W339" si="501">IFERROR(W301/O282*1000000,0)</f>
        <v>11.242463870456785</v>
      </c>
      <c r="X326" s="316">
        <f t="shared" ref="X326:X339" si="502">IFERROR(X301/P282*1000000,0)</f>
        <v>478.25904922349412</v>
      </c>
      <c r="Z326" s="199">
        <f>AA326*AB326</f>
        <v>0</v>
      </c>
      <c r="AA326" s="237">
        <v>87.266962067966304</v>
      </c>
      <c r="AB326" s="237">
        <v>0</v>
      </c>
      <c r="AC326" s="216" t="s">
        <v>228</v>
      </c>
    </row>
    <row r="327" spans="1:34">
      <c r="A327" s="216" t="s">
        <v>25</v>
      </c>
      <c r="K327">
        <v>674.1</v>
      </c>
      <c r="L327">
        <v>8.1</v>
      </c>
      <c r="M327" s="177">
        <v>3.1</v>
      </c>
      <c r="N327" s="177">
        <v>203.7</v>
      </c>
      <c r="O327" s="177">
        <v>272.7</v>
      </c>
      <c r="P327" s="298">
        <f t="shared" ref="P327:P332" si="503">SUM(J327:O327)</f>
        <v>1161.7</v>
      </c>
      <c r="Q327" s="216" t="s">
        <v>18</v>
      </c>
      <c r="R327" s="317">
        <f t="shared" si="496"/>
        <v>0</v>
      </c>
      <c r="S327" s="317">
        <f t="shared" si="497"/>
        <v>595.15610356882848</v>
      </c>
      <c r="T327" s="317">
        <f t="shared" si="498"/>
        <v>1526.3194466769428</v>
      </c>
      <c r="U327" s="317">
        <f t="shared" si="499"/>
        <v>639.45730833649282</v>
      </c>
      <c r="V327" s="317">
        <f t="shared" si="500"/>
        <v>335.45221152916992</v>
      </c>
      <c r="W327" s="317">
        <f t="shared" si="501"/>
        <v>11.24818098488136</v>
      </c>
      <c r="X327" s="316">
        <f t="shared" si="502"/>
        <v>172.41543715554377</v>
      </c>
      <c r="Z327" s="199">
        <f>AA327*AB327</f>
        <v>0</v>
      </c>
      <c r="AA327" s="237">
        <v>11.270355073468</v>
      </c>
      <c r="AB327" s="237">
        <v>0</v>
      </c>
      <c r="AC327" s="216" t="s">
        <v>152</v>
      </c>
    </row>
    <row r="328" spans="1:34">
      <c r="A328" s="216" t="s">
        <v>26</v>
      </c>
      <c r="K328">
        <v>547.6</v>
      </c>
      <c r="M328">
        <v>76.5</v>
      </c>
      <c r="N328">
        <v>8.6999999999999993</v>
      </c>
      <c r="O328">
        <v>0.3</v>
      </c>
      <c r="P328" s="298">
        <f t="shared" si="503"/>
        <v>633.1</v>
      </c>
      <c r="Q328" s="216" t="s">
        <v>19</v>
      </c>
      <c r="R328" s="317">
        <f t="shared" si="496"/>
        <v>0</v>
      </c>
      <c r="S328" s="317">
        <f t="shared" si="497"/>
        <v>426.3770353809565</v>
      </c>
      <c r="T328" s="317">
        <f t="shared" si="498"/>
        <v>0</v>
      </c>
      <c r="U328" s="317">
        <f t="shared" si="499"/>
        <v>1039.4883381726797</v>
      </c>
      <c r="V328" s="317">
        <f t="shared" si="500"/>
        <v>517.57914117235543</v>
      </c>
      <c r="W328" s="317">
        <f t="shared" si="501"/>
        <v>12.953880792473111</v>
      </c>
      <c r="X328" s="316">
        <f t="shared" si="502"/>
        <v>430.27254856156128</v>
      </c>
      <c r="Z328" s="199"/>
      <c r="AA328" s="237"/>
      <c r="AB328" s="237">
        <v>0</v>
      </c>
      <c r="AC328" s="216" t="s">
        <v>229</v>
      </c>
    </row>
    <row r="329" spans="1:34">
      <c r="A329" s="216" t="s">
        <v>27</v>
      </c>
      <c r="K329">
        <v>1800.3</v>
      </c>
      <c r="L329">
        <v>38.299999999999997</v>
      </c>
      <c r="M329">
        <v>221.6</v>
      </c>
      <c r="N329">
        <v>204.2</v>
      </c>
      <c r="O329">
        <v>1.2</v>
      </c>
      <c r="P329" s="298">
        <f t="shared" si="503"/>
        <v>2265.5999999999995</v>
      </c>
      <c r="Q329" s="216" t="s">
        <v>20</v>
      </c>
      <c r="R329" s="317">
        <f t="shared" si="496"/>
        <v>930.07391538771458</v>
      </c>
      <c r="S329" s="317">
        <f t="shared" si="497"/>
        <v>573.6172310590897</v>
      </c>
      <c r="T329" s="317">
        <f t="shared" si="498"/>
        <v>0</v>
      </c>
      <c r="U329" s="317">
        <f t="shared" si="499"/>
        <v>741.29929860103107</v>
      </c>
      <c r="V329" s="317">
        <f t="shared" si="500"/>
        <v>521.5224540196499</v>
      </c>
      <c r="W329" s="317">
        <f t="shared" si="501"/>
        <v>10.409142415559913</v>
      </c>
      <c r="X329" s="316">
        <f t="shared" si="502"/>
        <v>821.59369581552357</v>
      </c>
      <c r="Z329" s="199">
        <f>AA329*AB329</f>
        <v>0</v>
      </c>
      <c r="AA329" s="237">
        <v>205.27592056082699</v>
      </c>
      <c r="AB329" s="237">
        <v>0</v>
      </c>
      <c r="AC329" s="216" t="s">
        <v>230</v>
      </c>
    </row>
    <row r="330" spans="1:34">
      <c r="A330" s="216" t="s">
        <v>28</v>
      </c>
      <c r="J330" s="177"/>
      <c r="K330">
        <v>146.1</v>
      </c>
      <c r="M330">
        <v>54.1</v>
      </c>
      <c r="N330" s="177">
        <v>106.9</v>
      </c>
      <c r="O330" s="177">
        <v>1E-3</v>
      </c>
      <c r="P330" s="298">
        <f t="shared" si="503"/>
        <v>307.101</v>
      </c>
      <c r="Q330" s="216" t="s">
        <v>21</v>
      </c>
      <c r="R330" s="317">
        <f t="shared" si="496"/>
        <v>0</v>
      </c>
      <c r="S330" s="317">
        <f t="shared" si="497"/>
        <v>391.69481862468371</v>
      </c>
      <c r="T330" s="317">
        <f t="shared" si="498"/>
        <v>0</v>
      </c>
      <c r="U330" s="317">
        <f t="shared" si="499"/>
        <v>550.53908682991323</v>
      </c>
      <c r="V330" s="317">
        <f t="shared" si="500"/>
        <v>296.25104263547649</v>
      </c>
      <c r="W330" s="317">
        <f t="shared" si="501"/>
        <v>10.353897077662204</v>
      </c>
      <c r="X330" s="316">
        <f t="shared" si="502"/>
        <v>388.7875253803503</v>
      </c>
    </row>
    <row r="331" spans="1:34">
      <c r="A331" s="216" t="s">
        <v>29</v>
      </c>
      <c r="J331">
        <v>22.42</v>
      </c>
      <c r="K331">
        <v>79.52</v>
      </c>
      <c r="L331">
        <v>24.8</v>
      </c>
      <c r="M331" s="177">
        <v>80</v>
      </c>
      <c r="N331" s="177">
        <v>524.32000000000005</v>
      </c>
      <c r="O331" s="177">
        <v>0.1</v>
      </c>
      <c r="P331" s="298">
        <f t="shared" si="503"/>
        <v>731.16000000000008</v>
      </c>
      <c r="Q331" s="216" t="s">
        <v>23</v>
      </c>
      <c r="R331" s="317">
        <f t="shared" si="496"/>
        <v>0</v>
      </c>
      <c r="S331" s="317">
        <f t="shared" si="497"/>
        <v>0</v>
      </c>
      <c r="T331" s="317">
        <f t="shared" si="498"/>
        <v>0</v>
      </c>
      <c r="U331" s="317">
        <f t="shared" si="499"/>
        <v>0</v>
      </c>
      <c r="V331" s="317">
        <f t="shared" si="500"/>
        <v>0</v>
      </c>
      <c r="W331" s="317">
        <f t="shared" si="501"/>
        <v>0</v>
      </c>
      <c r="X331" s="316">
        <f t="shared" si="502"/>
        <v>0</v>
      </c>
    </row>
    <row r="332" spans="1:34">
      <c r="A332" s="216" t="s">
        <v>388</v>
      </c>
      <c r="K332" s="388"/>
      <c r="O332" s="388"/>
      <c r="P332" s="220">
        <f t="shared" si="503"/>
        <v>0</v>
      </c>
      <c r="Q332" s="216" t="str">
        <f>A332</f>
        <v>a celle combustibile (CEC)</v>
      </c>
      <c r="R332" s="317">
        <f t="shared" si="496"/>
        <v>0</v>
      </c>
      <c r="S332" s="317">
        <f t="shared" si="497"/>
        <v>0</v>
      </c>
      <c r="T332" s="317">
        <f t="shared" si="498"/>
        <v>0</v>
      </c>
      <c r="U332" s="317">
        <f t="shared" si="499"/>
        <v>0</v>
      </c>
      <c r="V332" s="317">
        <f t="shared" si="500"/>
        <v>0</v>
      </c>
      <c r="W332" s="317">
        <f t="shared" si="501"/>
        <v>0</v>
      </c>
      <c r="X332" s="316">
        <f t="shared" si="502"/>
        <v>0</v>
      </c>
      <c r="AF332" s="237"/>
      <c r="AG332" s="237"/>
      <c r="AH332" s="237"/>
    </row>
    <row r="333" spans="1:34">
      <c r="A333" s="223" t="s">
        <v>277</v>
      </c>
      <c r="J333" s="209">
        <f t="shared" ref="J333:O333" si="504">SUM(J334:J339)</f>
        <v>32.799999999999997</v>
      </c>
      <c r="K333" s="209">
        <f t="shared" si="504"/>
        <v>15029.380000000001</v>
      </c>
      <c r="L333" s="209">
        <f t="shared" si="504"/>
        <v>416.7</v>
      </c>
      <c r="M333" s="209">
        <f t="shared" si="504"/>
        <v>787.30000000000007</v>
      </c>
      <c r="N333" s="209">
        <f t="shared" si="504"/>
        <v>3799.7200000000003</v>
      </c>
      <c r="O333" s="209">
        <f t="shared" si="504"/>
        <v>1266.93</v>
      </c>
      <c r="P333" s="298">
        <f>SUM(J333:O333)</f>
        <v>21332.83</v>
      </c>
      <c r="Q333" s="223" t="s">
        <v>24</v>
      </c>
      <c r="R333" s="316">
        <f t="shared" si="496"/>
        <v>413.22744665494542</v>
      </c>
      <c r="S333" s="316">
        <f t="shared" si="497"/>
        <v>355.11361394123804</v>
      </c>
      <c r="T333" s="316">
        <f t="shared" si="498"/>
        <v>1362.5202530049664</v>
      </c>
      <c r="U333" s="316">
        <f t="shared" si="499"/>
        <v>402.79727014563446</v>
      </c>
      <c r="V333" s="316">
        <f t="shared" si="500"/>
        <v>315.28777607354897</v>
      </c>
      <c r="W333" s="316">
        <f t="shared" si="501"/>
        <v>8.464861153524355</v>
      </c>
      <c r="X333" s="316">
        <f t="shared" si="502"/>
        <v>348.76769115492147</v>
      </c>
      <c r="AF333" s="237"/>
      <c r="AG333" s="237"/>
      <c r="AH333" s="237"/>
    </row>
    <row r="334" spans="1:34">
      <c r="A334" s="216" t="s">
        <v>25</v>
      </c>
      <c r="K334" s="177">
        <v>2261.8200000000002</v>
      </c>
      <c r="L334">
        <v>30.4</v>
      </c>
      <c r="M334" s="177">
        <v>7.1</v>
      </c>
      <c r="N334" s="177">
        <v>603.29999999999995</v>
      </c>
      <c r="O334" s="177">
        <v>1258.82</v>
      </c>
      <c r="P334" s="298">
        <f t="shared" ref="P334:P339" si="505">SUM(J334:O334)</f>
        <v>4161.4399999999996</v>
      </c>
      <c r="Q334" s="216" t="s">
        <v>25</v>
      </c>
      <c r="R334" s="317">
        <f t="shared" si="496"/>
        <v>0</v>
      </c>
      <c r="S334" s="317">
        <f t="shared" si="497"/>
        <v>340.16364514708312</v>
      </c>
      <c r="T334" s="317">
        <f t="shared" si="498"/>
        <v>1076.1621986741932</v>
      </c>
      <c r="U334" s="317">
        <f t="shared" si="499"/>
        <v>416.72423114855019</v>
      </c>
      <c r="V334" s="317">
        <f t="shared" si="500"/>
        <v>288.71235630976622</v>
      </c>
      <c r="W334" s="317">
        <f t="shared" si="501"/>
        <v>8.4628951992052226</v>
      </c>
      <c r="X334" s="316">
        <f t="shared" si="502"/>
        <v>242.1885367186978</v>
      </c>
    </row>
    <row r="335" spans="1:34">
      <c r="A335" s="216" t="s">
        <v>26</v>
      </c>
      <c r="K335" s="177">
        <v>1243.5999999999999</v>
      </c>
      <c r="M335">
        <v>140.30000000000001</v>
      </c>
      <c r="N335" s="177">
        <v>14.7</v>
      </c>
      <c r="O335">
        <v>1.5</v>
      </c>
      <c r="P335" s="298">
        <f t="shared" si="505"/>
        <v>1400.1</v>
      </c>
      <c r="Q335" s="216" t="s">
        <v>26</v>
      </c>
      <c r="R335" s="317">
        <f t="shared" si="496"/>
        <v>0</v>
      </c>
      <c r="S335" s="317">
        <f t="shared" si="497"/>
        <v>344.50615976598203</v>
      </c>
      <c r="T335" s="317">
        <f t="shared" si="498"/>
        <v>0</v>
      </c>
      <c r="U335" s="317">
        <f t="shared" si="499"/>
        <v>348.47057739558136</v>
      </c>
      <c r="V335" s="317">
        <f t="shared" si="500"/>
        <v>358.68682938430783</v>
      </c>
      <c r="W335" s="317">
        <f t="shared" si="501"/>
        <v>7.802253033511791</v>
      </c>
      <c r="X335" s="316">
        <f t="shared" si="502"/>
        <v>344.43040988981591</v>
      </c>
      <c r="AF335" s="240"/>
      <c r="AG335" s="240"/>
      <c r="AH335" s="240"/>
    </row>
    <row r="336" spans="1:34">
      <c r="A336" s="216" t="s">
        <v>27</v>
      </c>
      <c r="K336" s="177">
        <v>11005.22</v>
      </c>
      <c r="L336">
        <v>220.7</v>
      </c>
      <c r="M336">
        <v>451.1</v>
      </c>
      <c r="N336" s="177">
        <v>1191.32</v>
      </c>
      <c r="O336">
        <v>6.2</v>
      </c>
      <c r="P336" s="298">
        <f t="shared" si="505"/>
        <v>12874.54</v>
      </c>
      <c r="Q336" s="216" t="s">
        <v>27</v>
      </c>
      <c r="R336" s="317">
        <f t="shared" si="496"/>
        <v>0</v>
      </c>
      <c r="S336" s="317">
        <f t="shared" si="497"/>
        <v>356.66520069889907</v>
      </c>
      <c r="T336" s="317">
        <f t="shared" si="498"/>
        <v>1310.4112884140084</v>
      </c>
      <c r="U336" s="317">
        <f t="shared" si="499"/>
        <v>436.37912946794557</v>
      </c>
      <c r="V336" s="317">
        <f t="shared" si="500"/>
        <v>232.92607749951009</v>
      </c>
      <c r="W336" s="317">
        <f t="shared" si="501"/>
        <v>8.8772352334380358</v>
      </c>
      <c r="X336" s="316">
        <f t="shared" si="502"/>
        <v>359.0073320261514</v>
      </c>
      <c r="AF336" s="215"/>
      <c r="AG336" s="237"/>
      <c r="AH336" s="237"/>
    </row>
    <row r="337" spans="1:34">
      <c r="A337" s="216" t="s">
        <v>28</v>
      </c>
      <c r="J337" s="177"/>
      <c r="K337" s="177">
        <v>227.04</v>
      </c>
      <c r="M337">
        <v>80.2</v>
      </c>
      <c r="N337" s="177">
        <v>210.5</v>
      </c>
      <c r="O337" s="177">
        <v>0.01</v>
      </c>
      <c r="P337" s="298">
        <f t="shared" si="505"/>
        <v>517.75</v>
      </c>
      <c r="Q337" s="216" t="s">
        <v>28</v>
      </c>
      <c r="R337" s="317">
        <f t="shared" si="496"/>
        <v>0</v>
      </c>
      <c r="S337" s="317">
        <f t="shared" si="497"/>
        <v>285.50586114387522</v>
      </c>
      <c r="T337" s="317">
        <f t="shared" si="498"/>
        <v>0</v>
      </c>
      <c r="U337" s="317">
        <f t="shared" si="499"/>
        <v>351.70151958507103</v>
      </c>
      <c r="V337" s="317">
        <f t="shared" si="500"/>
        <v>230.10390261860317</v>
      </c>
      <c r="W337" s="317">
        <f t="shared" si="501"/>
        <v>0</v>
      </c>
      <c r="X337" s="316">
        <f t="shared" si="502"/>
        <v>267.1235241316719</v>
      </c>
      <c r="AA337" s="216"/>
      <c r="AB337" s="237"/>
      <c r="AC337" s="237"/>
      <c r="AE337" s="239"/>
      <c r="AF337" s="215"/>
      <c r="AG337" s="237"/>
      <c r="AH337" s="237"/>
    </row>
    <row r="338" spans="1:34">
      <c r="A338" s="216" t="s">
        <v>29</v>
      </c>
      <c r="J338">
        <v>32.799999999999997</v>
      </c>
      <c r="K338">
        <v>291.60000000000002</v>
      </c>
      <c r="L338">
        <v>165.6</v>
      </c>
      <c r="M338">
        <v>108.6</v>
      </c>
      <c r="N338" s="177">
        <v>1779.9</v>
      </c>
      <c r="O338" s="177">
        <v>0.4</v>
      </c>
      <c r="P338" s="298">
        <f t="shared" si="505"/>
        <v>2378.9</v>
      </c>
      <c r="Q338" s="216" t="s">
        <v>29</v>
      </c>
      <c r="R338" s="317">
        <f t="shared" si="496"/>
        <v>413.28261720857091</v>
      </c>
      <c r="S338" s="317">
        <f t="shared" si="497"/>
        <v>513.05362717417927</v>
      </c>
      <c r="T338" s="317">
        <f t="shared" si="498"/>
        <v>1501.54310064677</v>
      </c>
      <c r="U338" s="317">
        <f t="shared" si="499"/>
        <v>330.29652757970217</v>
      </c>
      <c r="V338" s="317">
        <f t="shared" si="500"/>
        <v>474.78259880024621</v>
      </c>
      <c r="W338" s="317">
        <f t="shared" si="501"/>
        <v>13.472956779803662</v>
      </c>
      <c r="X338" s="316">
        <f t="shared" si="502"/>
        <v>584.26630577940387</v>
      </c>
      <c r="AA338" s="216"/>
      <c r="AB338" s="237"/>
      <c r="AC338" s="237"/>
      <c r="AE338" s="239"/>
      <c r="AF338" s="215"/>
      <c r="AG338" s="237"/>
      <c r="AH338" s="237"/>
    </row>
    <row r="339" spans="1:34">
      <c r="A339" s="216" t="s">
        <v>388</v>
      </c>
      <c r="K339">
        <v>0.1</v>
      </c>
      <c r="M339" s="177"/>
      <c r="P339" s="298">
        <f t="shared" si="505"/>
        <v>0.1</v>
      </c>
      <c r="Q339" s="216" t="str">
        <f>A339</f>
        <v>a celle combustibile (CEC)</v>
      </c>
      <c r="R339" s="317">
        <f t="shared" si="496"/>
        <v>0</v>
      </c>
      <c r="S339" s="317">
        <f t="shared" si="497"/>
        <v>0</v>
      </c>
      <c r="T339" s="317">
        <f t="shared" si="498"/>
        <v>0</v>
      </c>
      <c r="U339" s="317">
        <f t="shared" si="499"/>
        <v>0</v>
      </c>
      <c r="V339" s="317">
        <f t="shared" si="500"/>
        <v>0</v>
      </c>
      <c r="W339" s="317">
        <f t="shared" si="501"/>
        <v>0</v>
      </c>
      <c r="X339" s="316">
        <f t="shared" si="502"/>
        <v>0</v>
      </c>
      <c r="AA339" s="216"/>
      <c r="AB339" s="237"/>
      <c r="AC339" s="237"/>
      <c r="AE339" s="216"/>
      <c r="AF339" s="215"/>
      <c r="AG339" s="456"/>
      <c r="AH339" s="456"/>
    </row>
    <row r="340" spans="1:34">
      <c r="Q340" s="223" t="s">
        <v>10</v>
      </c>
      <c r="R340" s="316">
        <f>R315/J296*1000000</f>
        <v>927.18016449752702</v>
      </c>
      <c r="S340" s="316">
        <f t="shared" ref="S340:X340" si="506">S315/K296*1000000</f>
        <v>371.67292544404057</v>
      </c>
      <c r="T340" s="316">
        <f t="shared" si="506"/>
        <v>1365.2042195168613</v>
      </c>
      <c r="U340" s="316">
        <f t="shared" si="506"/>
        <v>509.28968891458578</v>
      </c>
      <c r="V340" s="316">
        <f t="shared" si="506"/>
        <v>357.2468732120559</v>
      </c>
      <c r="W340" s="316">
        <f t="shared" si="506"/>
        <v>9.4069552328060375</v>
      </c>
      <c r="X340" s="225">
        <f t="shared" si="506"/>
        <v>406.3155710371671</v>
      </c>
      <c r="AA340" s="216"/>
      <c r="AB340" s="237"/>
      <c r="AC340" s="237"/>
      <c r="AE340" s="216"/>
      <c r="AF340" s="215"/>
      <c r="AG340" s="456"/>
      <c r="AH340" s="456"/>
    </row>
    <row r="341" spans="1:34">
      <c r="J341" s="90">
        <f t="shared" ref="J341:O341" si="507">IFERROR((J289/11.63+J326)/J333,"")</f>
        <v>0.87991160371620925</v>
      </c>
      <c r="K341" s="90">
        <f t="shared" si="507"/>
        <v>0.66113864450125281</v>
      </c>
      <c r="L341" s="90">
        <f t="shared" si="507"/>
        <v>0.51521711453109542</v>
      </c>
      <c r="M341" s="90">
        <f t="shared" si="507"/>
        <v>0.78484319920089973</v>
      </c>
      <c r="N341" s="90">
        <f t="shared" si="507"/>
        <v>0.57745003865470146</v>
      </c>
      <c r="O341" s="90">
        <f t="shared" si="507"/>
        <v>0.58718597550375307</v>
      </c>
      <c r="P341" s="301">
        <f>P333-('5-x'!$Z$82+'5-x'!$Z$84)</f>
        <v>0</v>
      </c>
      <c r="R341" s="361">
        <f>'12'!AF6</f>
        <v>927.18176589332518</v>
      </c>
      <c r="S341" s="361">
        <f>'12'!AF7</f>
        <v>371.67283210895346</v>
      </c>
      <c r="T341" s="234"/>
      <c r="U341" s="234"/>
      <c r="V341" s="234"/>
      <c r="W341" s="234"/>
      <c r="X341" s="226">
        <f>'12'!AF11</f>
        <v>405.19183200859823</v>
      </c>
      <c r="AE341" s="223"/>
      <c r="AF341" s="240"/>
      <c r="AG341" s="240"/>
      <c r="AH341" s="240"/>
    </row>
    <row r="342" spans="1:34">
      <c r="J342" s="90" t="str">
        <f t="shared" ref="J342:O342" si="508">IFERROR((J290/11.63+J327)/J334,"")</f>
        <v/>
      </c>
      <c r="K342" s="90">
        <f t="shared" si="508"/>
        <v>0.70713197560190011</v>
      </c>
      <c r="L342" s="90">
        <f t="shared" si="508"/>
        <v>0.64545809385889485</v>
      </c>
      <c r="M342" s="90">
        <f t="shared" si="508"/>
        <v>0.73574897363544989</v>
      </c>
      <c r="N342" s="90">
        <f t="shared" si="508"/>
        <v>0.6377265253202542</v>
      </c>
      <c r="O342" s="90">
        <f t="shared" si="508"/>
        <v>0.58730573855057555</v>
      </c>
      <c r="P342" s="305">
        <f>(P308/41.868)-'5-x'!$Z$82</f>
        <v>0</v>
      </c>
      <c r="R342" s="202">
        <f>R340-R341</f>
        <v>-1.6013957981613203E-3</v>
      </c>
      <c r="S342" s="202">
        <f>S340-S341</f>
        <v>9.3335087115065107E-5</v>
      </c>
      <c r="T342" s="202"/>
      <c r="U342" s="202"/>
      <c r="V342" s="202"/>
      <c r="W342" s="202"/>
      <c r="X342" s="227">
        <f>X340-X341</f>
        <v>1.1237390285688775</v>
      </c>
      <c r="AE342" s="216"/>
      <c r="AF342" s="215"/>
      <c r="AG342" s="237"/>
      <c r="AH342" s="237"/>
    </row>
    <row r="343" spans="1:34">
      <c r="J343" s="90" t="str">
        <f t="shared" ref="J343:O343" si="509">IFERROR((J291/11.63+J328)/J335,"")</f>
        <v/>
      </c>
      <c r="K343" s="90">
        <f t="shared" si="509"/>
        <v>0.74784464817561536</v>
      </c>
      <c r="L343" s="90" t="str">
        <f t="shared" si="509"/>
        <v/>
      </c>
      <c r="M343" s="90">
        <f t="shared" si="509"/>
        <v>0.81934425003784417</v>
      </c>
      <c r="N343" s="90">
        <f t="shared" si="509"/>
        <v>0.72052105450950799</v>
      </c>
      <c r="O343" s="90">
        <f t="shared" si="509"/>
        <v>0.61845801089137276</v>
      </c>
      <c r="P343" s="305">
        <f>(P301/41.868)-'5-x'!$Z$83</f>
        <v>0</v>
      </c>
      <c r="AE343" s="216"/>
      <c r="AF343" s="215"/>
      <c r="AG343" s="237"/>
      <c r="AH343" s="237"/>
    </row>
    <row r="344" spans="1:34">
      <c r="J344" s="90" t="str">
        <f t="shared" ref="J344:O344" si="510">IFERROR((J292/11.63+J329)/J336,"")</f>
        <v/>
      </c>
      <c r="K344" s="90">
        <f t="shared" si="510"/>
        <v>0.64075455083463773</v>
      </c>
      <c r="L344" s="90">
        <f t="shared" si="510"/>
        <v>0.53025568220556729</v>
      </c>
      <c r="M344" s="90">
        <f t="shared" si="510"/>
        <v>0.74325013871699497</v>
      </c>
      <c r="N344" s="90">
        <f t="shared" si="510"/>
        <v>0.64143723578770362</v>
      </c>
      <c r="O344" s="90">
        <f t="shared" si="510"/>
        <v>0.56106287964940504</v>
      </c>
      <c r="AE344" s="216"/>
      <c r="AF344" s="215"/>
      <c r="AG344" s="237"/>
      <c r="AH344" s="237"/>
    </row>
    <row r="345" spans="1:34">
      <c r="J345" s="90" t="str">
        <f t="shared" ref="J345:O345" si="511">IFERROR((J293/11.63+J330)/J337,"")</f>
        <v/>
      </c>
      <c r="K345" s="90">
        <f t="shared" si="511"/>
        <v>0.85153725359738275</v>
      </c>
      <c r="L345" s="90" t="str">
        <f t="shared" si="511"/>
        <v/>
      </c>
      <c r="M345" s="90">
        <f t="shared" si="511"/>
        <v>0.84771197543544408</v>
      </c>
      <c r="N345" s="90">
        <f t="shared" si="511"/>
        <v>0.76991767135122324</v>
      </c>
      <c r="O345" s="90">
        <f t="shared" si="511"/>
        <v>0.18598452278589853</v>
      </c>
      <c r="AE345" s="216"/>
      <c r="AF345" s="215"/>
      <c r="AG345" s="237"/>
      <c r="AH345" s="237"/>
    </row>
    <row r="346" spans="1:34">
      <c r="J346" s="90">
        <f t="shared" ref="J346:O346" si="512">IFERROR((J294/11.63+J331)/J338,"")</f>
        <v>0.87988538892267698</v>
      </c>
      <c r="K346" s="90">
        <f t="shared" si="512"/>
        <v>0.55581433476404962</v>
      </c>
      <c r="L346" s="90">
        <f t="shared" si="512"/>
        <v>0.47126580017529213</v>
      </c>
      <c r="M346" s="90">
        <f t="shared" si="512"/>
        <v>0.86982133271259798</v>
      </c>
      <c r="N346" s="90">
        <f t="shared" si="512"/>
        <v>0.49024760441148574</v>
      </c>
      <c r="O346" s="90">
        <f t="shared" si="512"/>
        <v>0.48645743766122101</v>
      </c>
    </row>
    <row r="347" spans="1:34">
      <c r="J347" s="90" t="str">
        <f t="shared" ref="J347:O347" si="513">IFERROR((J295/11.63+J332)/J339,"")</f>
        <v/>
      </c>
      <c r="K347" s="90">
        <f t="shared" si="513"/>
        <v>0.25795356835769556</v>
      </c>
      <c r="L347" s="90" t="str">
        <f t="shared" si="513"/>
        <v/>
      </c>
      <c r="M347" s="90" t="str">
        <f t="shared" si="513"/>
        <v/>
      </c>
      <c r="N347" s="90" t="str">
        <f t="shared" si="513"/>
        <v/>
      </c>
      <c r="O347" s="90" t="str">
        <f t="shared" si="513"/>
        <v/>
      </c>
    </row>
    <row r="348" spans="1:34">
      <c r="A348" s="68" t="str">
        <f>$A$280</f>
        <v>Dati 2020 lorda</v>
      </c>
    </row>
    <row r="349" spans="1:34">
      <c r="A349" s="68" t="s">
        <v>281</v>
      </c>
      <c r="B349" s="68"/>
      <c r="C349" s="68"/>
      <c r="D349" s="68"/>
      <c r="E349" s="68"/>
      <c r="J349" s="479">
        <v>9.8183259295941738E-2</v>
      </c>
      <c r="K349" s="479">
        <v>8.8179422126046205</v>
      </c>
      <c r="L349" s="479">
        <v>0.57735988758421186</v>
      </c>
      <c r="M349" s="658">
        <v>1.2164388082448383</v>
      </c>
      <c r="N349" s="657">
        <v>2.0398775971623619</v>
      </c>
      <c r="O349" s="657">
        <v>9.6322673039324347E-4</v>
      </c>
      <c r="P349" s="632">
        <f>SUM(J349:O349)</f>
        <v>12.750764991622367</v>
      </c>
      <c r="Q349" t="s">
        <v>402</v>
      </c>
    </row>
    <row r="350" spans="1:34">
      <c r="A350" t="s">
        <v>282</v>
      </c>
      <c r="J350" s="211">
        <f>J349/(J326*11.63)*1000000</f>
        <v>376.54954041595386</v>
      </c>
      <c r="K350" s="211">
        <f t="shared" ref="K350:P350" si="514">K349/(K326*11.63)*1000000</f>
        <v>233.46529246169149</v>
      </c>
      <c r="L350" s="211">
        <f t="shared" si="514"/>
        <v>697.24739339393932</v>
      </c>
      <c r="M350" s="211">
        <f t="shared" si="514"/>
        <v>240.28235797192636</v>
      </c>
      <c r="N350" s="211">
        <f t="shared" si="514"/>
        <v>167.39316078491635</v>
      </c>
      <c r="O350" s="211">
        <f t="shared" si="514"/>
        <v>0.30194053520579361</v>
      </c>
      <c r="P350" s="211">
        <f t="shared" si="514"/>
        <v>215.0306605910435</v>
      </c>
    </row>
    <row r="352" spans="1:34">
      <c r="A352" s="68" t="s">
        <v>283</v>
      </c>
      <c r="J352" s="304">
        <f t="shared" ref="J352:P352" si="515">J349+R308</f>
        <v>0.12913812732486371</v>
      </c>
      <c r="K352" s="304">
        <f t="shared" si="515"/>
        <v>36.442841036509506</v>
      </c>
      <c r="L352" s="304">
        <f t="shared" si="515"/>
        <v>2.8511336857988998</v>
      </c>
      <c r="M352" s="304">
        <f t="shared" si="515"/>
        <v>2.0718674267985251</v>
      </c>
      <c r="N352" s="304">
        <f t="shared" si="515"/>
        <v>6.2432311702197021</v>
      </c>
      <c r="O352" s="304">
        <f t="shared" si="515"/>
        <v>4.7195843541208753E-2</v>
      </c>
      <c r="P352" s="304">
        <f t="shared" si="515"/>
        <v>47.785407290192701</v>
      </c>
    </row>
    <row r="353" spans="1:34">
      <c r="A353" t="s">
        <v>284</v>
      </c>
      <c r="J353" s="211">
        <f>J352/((J326*11.63)+J289)*1000000</f>
        <v>384.73516324478697</v>
      </c>
      <c r="K353" s="211">
        <f t="shared" ref="K353:P353" si="516">K352/((K326*11.63)+K289)*1000000</f>
        <v>315.35440638206154</v>
      </c>
      <c r="L353" s="211">
        <f t="shared" si="516"/>
        <v>1141.8895145730871</v>
      </c>
      <c r="M353" s="211">
        <f t="shared" si="516"/>
        <v>288.30959568789893</v>
      </c>
      <c r="N353" s="211">
        <f t="shared" si="516"/>
        <v>244.66040579533549</v>
      </c>
      <c r="O353" s="211">
        <f t="shared" si="516"/>
        <v>5.4550124198638814</v>
      </c>
      <c r="P353" s="211">
        <f t="shared" si="516"/>
        <v>299.12601651082991</v>
      </c>
    </row>
    <row r="354" spans="1:34">
      <c r="J354" s="211" t="str">
        <f>IFERROR((J$534*J325*11.63/1000000+R307)/(J325*11.63+J288)*1000000,"")</f>
        <v/>
      </c>
      <c r="K354" s="198"/>
      <c r="L354" s="198"/>
      <c r="M354" s="198"/>
      <c r="N354" s="198"/>
      <c r="O354" s="198"/>
      <c r="P354" s="198"/>
    </row>
    <row r="355" spans="1:34">
      <c r="A355" t="s">
        <v>285</v>
      </c>
      <c r="J355" s="298">
        <f t="shared" ref="J355:P355" si="517">IFERROR((J350*J326*11.63/1000000+R308)/(J326*11.63+J289)*1000000,"")</f>
        <v>384.73516324478692</v>
      </c>
      <c r="K355" s="298">
        <f t="shared" si="517"/>
        <v>315.35440638206154</v>
      </c>
      <c r="L355" s="298">
        <f t="shared" si="517"/>
        <v>1141.8895145730871</v>
      </c>
      <c r="M355" s="298">
        <f t="shared" si="517"/>
        <v>288.30959568789888</v>
      </c>
      <c r="N355" s="298">
        <f t="shared" si="517"/>
        <v>244.66040579533549</v>
      </c>
      <c r="O355" s="298">
        <f t="shared" si="517"/>
        <v>5.4550124198638814</v>
      </c>
      <c r="P355" s="298">
        <f t="shared" si="517"/>
        <v>299.12601651082991</v>
      </c>
      <c r="R355" s="285">
        <f t="shared" ref="R355:R361" si="518">IFERROR(J355/R333-1,"")</f>
        <v>-6.8950607324857138E-2</v>
      </c>
      <c r="S355" s="285">
        <f t="shared" ref="S355:S361" si="519">IFERROR(K355/S333-1,"")</f>
        <v>-0.11196193555608258</v>
      </c>
      <c r="T355" s="285">
        <f t="shared" ref="T355:T361" si="520">IFERROR(L355/T333-1,"")</f>
        <v>-0.16192841019815296</v>
      </c>
      <c r="U355" s="285">
        <f t="shared" ref="U355:U361" si="521">IFERROR(M355/U333-1,"")</f>
        <v>-0.28423150538319608</v>
      </c>
      <c r="V355" s="285">
        <f t="shared" ref="V355:V361" si="522">IFERROR(N355/V333-1,"")</f>
        <v>-0.22400922470821649</v>
      </c>
      <c r="W355" s="285">
        <f t="shared" ref="W355:W361" si="523">IFERROR(O355/W333-1,"")</f>
        <v>-0.35556977002597612</v>
      </c>
      <c r="X355" s="285">
        <f t="shared" ref="X355:X361" si="524">IFERROR(P355/X333-1,"")</f>
        <v>-0.14233449916105012</v>
      </c>
      <c r="AE355" s="216"/>
      <c r="AF355" s="215"/>
      <c r="AG355" s="237"/>
      <c r="AH355" s="237"/>
    </row>
    <row r="356" spans="1:34">
      <c r="A356" s="216" t="s">
        <v>25</v>
      </c>
      <c r="J356" s="211" t="str">
        <f t="shared" ref="J356:P356" si="525">IFERROR((J350*J327*11.63/1000000+R309)/(J327*11.63+J290)*1000000,"")</f>
        <v/>
      </c>
      <c r="K356" s="211">
        <f t="shared" si="525"/>
        <v>295.19357907561096</v>
      </c>
      <c r="L356" s="211">
        <f t="shared" si="525"/>
        <v>919.74483605487717</v>
      </c>
      <c r="M356" s="211">
        <f t="shared" si="525"/>
        <v>312.01732196485858</v>
      </c>
      <c r="N356" s="211">
        <f t="shared" si="525"/>
        <v>224.48016413288093</v>
      </c>
      <c r="O356" s="211">
        <f t="shared" si="525"/>
        <v>5.4526752848500157</v>
      </c>
      <c r="P356" s="211">
        <f t="shared" si="525"/>
        <v>230.70898090572157</v>
      </c>
      <c r="R356" s="284" t="str">
        <f t="shared" si="518"/>
        <v/>
      </c>
      <c r="S356" s="284">
        <f t="shared" si="519"/>
        <v>-0.1322012705150416</v>
      </c>
      <c r="T356" s="284">
        <f t="shared" si="520"/>
        <v>-0.14534738612080833</v>
      </c>
      <c r="U356" s="284">
        <f t="shared" si="521"/>
        <v>-0.25126186901852277</v>
      </c>
      <c r="V356" s="284">
        <f t="shared" si="522"/>
        <v>-0.22247815437441509</v>
      </c>
      <c r="W356" s="284">
        <f t="shared" si="523"/>
        <v>-0.3556962296588414</v>
      </c>
      <c r="X356" s="284">
        <f t="shared" si="524"/>
        <v>-4.7399253360656535E-2</v>
      </c>
    </row>
    <row r="357" spans="1:34">
      <c r="A357" s="216" t="s">
        <v>26</v>
      </c>
      <c r="J357" s="211" t="str">
        <f t="shared" ref="J357:P357" si="526">IFERROR((J350*J328*11.63/1000000+R310)/(J328*11.63+J291)*1000000,"")</f>
        <v/>
      </c>
      <c r="K357" s="211">
        <f t="shared" si="526"/>
        <v>279.12476496151066</v>
      </c>
      <c r="L357" s="211" t="str">
        <f t="shared" si="526"/>
        <v/>
      </c>
      <c r="M357" s="211">
        <f t="shared" si="526"/>
        <v>276.47309223001082</v>
      </c>
      <c r="N357" s="211">
        <f t="shared" si="526"/>
        <v>201.55801339357038</v>
      </c>
      <c r="O357" s="211">
        <f t="shared" si="526"/>
        <v>5.3767650080609037</v>
      </c>
      <c r="P357" s="211">
        <f t="shared" si="526"/>
        <v>266.88802653768272</v>
      </c>
      <c r="R357" s="284" t="str">
        <f t="shared" si="518"/>
        <v/>
      </c>
      <c r="S357" s="284">
        <f t="shared" si="519"/>
        <v>-0.18978294858032141</v>
      </c>
      <c r="T357" s="284" t="str">
        <f t="shared" si="520"/>
        <v/>
      </c>
      <c r="U357" s="284">
        <f t="shared" si="521"/>
        <v>-0.20660994022413404</v>
      </c>
      <c r="V357" s="284">
        <f t="shared" si="522"/>
        <v>-0.43806686813801277</v>
      </c>
      <c r="W357" s="284">
        <f t="shared" si="523"/>
        <v>-0.31087020826331446</v>
      </c>
      <c r="X357" s="284">
        <f t="shared" si="524"/>
        <v>-0.22513222156237356</v>
      </c>
    </row>
    <row r="358" spans="1:34">
      <c r="A358" s="216" t="s">
        <v>27</v>
      </c>
      <c r="J358" s="211" t="str">
        <f t="shared" ref="J358:P358" si="527">IFERROR((J350*J329*11.63/1000000+R311)/(J329*11.63+J292)*1000000,"")</f>
        <v/>
      </c>
      <c r="K358" s="211">
        <f t="shared" si="527"/>
        <v>325.21200060799936</v>
      </c>
      <c r="L358" s="211">
        <f t="shared" si="527"/>
        <v>1109.7388702694323</v>
      </c>
      <c r="M358" s="211">
        <f t="shared" si="527"/>
        <v>306.77096097401977</v>
      </c>
      <c r="N358" s="211">
        <f t="shared" si="527"/>
        <v>215.41420303182542</v>
      </c>
      <c r="O358" s="211">
        <f t="shared" si="527"/>
        <v>5.9190383576092547</v>
      </c>
      <c r="P358" s="211">
        <f t="shared" si="527"/>
        <v>319.57191185104733</v>
      </c>
      <c r="R358" s="284" t="str">
        <f t="shared" si="518"/>
        <v/>
      </c>
      <c r="S358" s="284">
        <f t="shared" si="519"/>
        <v>-8.8186904775868102E-2</v>
      </c>
      <c r="T358" s="284">
        <f t="shared" si="520"/>
        <v>-0.15313697303954854</v>
      </c>
      <c r="U358" s="284">
        <f t="shared" si="521"/>
        <v>-0.29700817418090164</v>
      </c>
      <c r="V358" s="284">
        <f t="shared" si="522"/>
        <v>-7.5182112091856657E-2</v>
      </c>
      <c r="W358" s="284">
        <f t="shared" si="523"/>
        <v>-0.33323403042042754</v>
      </c>
      <c r="X358" s="284">
        <f t="shared" si="524"/>
        <v>-0.10984572363060108</v>
      </c>
    </row>
    <row r="359" spans="1:34">
      <c r="A359" s="216" t="s">
        <v>28</v>
      </c>
      <c r="J359" s="211"/>
      <c r="K359" s="211">
        <f t="shared" ref="K359:P359" si="528">IFERROR((K350*K330*11.63/1000000+S312)/(K330*11.63+K293)*1000000,"")</f>
        <v>246.17927760998933</v>
      </c>
      <c r="L359" s="211" t="str">
        <f t="shared" si="528"/>
        <v/>
      </c>
      <c r="M359" s="211">
        <f t="shared" si="528"/>
        <v>263.04014408914765</v>
      </c>
      <c r="N359" s="211">
        <f t="shared" si="528"/>
        <v>188.7398334647113</v>
      </c>
      <c r="O359" s="211">
        <f t="shared" si="528"/>
        <v>0.16234713011758573</v>
      </c>
      <c r="P359" s="211">
        <f t="shared" si="528"/>
        <v>229.33856472654486</v>
      </c>
      <c r="R359" s="284" t="str">
        <f t="shared" si="518"/>
        <v/>
      </c>
      <c r="S359" s="284">
        <f t="shared" si="519"/>
        <v>-0.13774352434070702</v>
      </c>
      <c r="T359" s="284" t="str">
        <f t="shared" si="520"/>
        <v/>
      </c>
      <c r="U359" s="284">
        <f t="shared" si="521"/>
        <v>-0.252092671082354</v>
      </c>
      <c r="V359" s="284">
        <f t="shared" si="522"/>
        <v>-0.17976257109577476</v>
      </c>
      <c r="W359" s="284" t="str">
        <f t="shared" si="523"/>
        <v/>
      </c>
      <c r="X359" s="284">
        <f t="shared" si="524"/>
        <v>-0.14145126127679375</v>
      </c>
    </row>
    <row r="360" spans="1:34">
      <c r="A360" s="216" t="s">
        <v>29</v>
      </c>
      <c r="J360" s="211">
        <f>IFERROR((J350*J331*11.63/1000000+R313)/(J331*11.63+J294)*1000000,"")</f>
        <v>384.74662582047694</v>
      </c>
      <c r="K360" s="211">
        <f t="shared" ref="K360:P360" si="529">IFERROR((K350*K331*11.63/1000000+S313)/(K331*11.63+K294)*1000000,"")</f>
        <v>375.87762055369507</v>
      </c>
      <c r="L360" s="211">
        <f t="shared" si="529"/>
        <v>1245.9546795950014</v>
      </c>
      <c r="M360" s="211">
        <f t="shared" si="529"/>
        <v>254.06388293827249</v>
      </c>
      <c r="N360" s="211">
        <f t="shared" si="529"/>
        <v>290.07945746682543</v>
      </c>
      <c r="O360" s="211">
        <f t="shared" si="529"/>
        <v>6.7041136987310512</v>
      </c>
      <c r="P360" s="211">
        <f t="shared" si="529"/>
        <v>365.88367275412577</v>
      </c>
      <c r="R360" s="284">
        <f t="shared" si="518"/>
        <v>-6.9047160949652908E-2</v>
      </c>
      <c r="S360" s="284">
        <f t="shared" si="519"/>
        <v>-0.26737167296921494</v>
      </c>
      <c r="T360" s="284">
        <f t="shared" si="520"/>
        <v>-0.17021717254847846</v>
      </c>
      <c r="U360" s="284">
        <f t="shared" si="521"/>
        <v>-0.2308006239122038</v>
      </c>
      <c r="V360" s="284">
        <f t="shared" si="522"/>
        <v>-0.38902677098983218</v>
      </c>
      <c r="W360" s="284">
        <f t="shared" si="523"/>
        <v>-0.50240219661502183</v>
      </c>
      <c r="X360" s="284">
        <f t="shared" si="524"/>
        <v>-0.37377242340538264</v>
      </c>
    </row>
    <row r="361" spans="1:34">
      <c r="A361" s="216" t="s">
        <v>388</v>
      </c>
      <c r="J361" s="211" t="str">
        <f t="shared" ref="J361:P361" si="530">IFERROR((J350*J332*11.63/1000000+R314)/(J332*11.63+J295)*1000000,"")</f>
        <v/>
      </c>
      <c r="K361" s="211">
        <f t="shared" si="530"/>
        <v>0</v>
      </c>
      <c r="L361" s="211" t="str">
        <f t="shared" si="530"/>
        <v/>
      </c>
      <c r="M361" s="211" t="str">
        <f t="shared" si="530"/>
        <v/>
      </c>
      <c r="N361" s="211" t="str">
        <f t="shared" si="530"/>
        <v/>
      </c>
      <c r="O361" s="211">
        <f t="shared" si="530"/>
        <v>0</v>
      </c>
      <c r="P361" s="211">
        <f t="shared" si="530"/>
        <v>0</v>
      </c>
      <c r="R361" s="284" t="str">
        <f t="shared" si="518"/>
        <v/>
      </c>
      <c r="S361" s="284" t="str">
        <f t="shared" si="519"/>
        <v/>
      </c>
      <c r="T361" s="284" t="str">
        <f t="shared" si="520"/>
        <v/>
      </c>
      <c r="U361" s="284" t="str">
        <f t="shared" si="521"/>
        <v/>
      </c>
      <c r="V361" s="284" t="str">
        <f t="shared" si="522"/>
        <v/>
      </c>
      <c r="W361" s="284" t="str">
        <f t="shared" si="523"/>
        <v/>
      </c>
      <c r="X361" s="284" t="str">
        <f t="shared" si="524"/>
        <v/>
      </c>
    </row>
    <row r="362" spans="1:34">
      <c r="J362" s="211"/>
      <c r="K362" s="211"/>
      <c r="L362" s="211"/>
      <c r="M362" s="211"/>
      <c r="N362" s="211"/>
      <c r="O362" s="211"/>
      <c r="P362" s="211"/>
    </row>
    <row r="363" spans="1:34">
      <c r="J363" s="211"/>
      <c r="K363" s="211"/>
      <c r="L363" s="211"/>
      <c r="M363" s="211"/>
      <c r="N363" s="211"/>
      <c r="O363" s="211"/>
      <c r="P363" s="211"/>
    </row>
    <row r="364" spans="1:34">
      <c r="J364" s="211"/>
      <c r="K364" s="211"/>
      <c r="L364" s="211"/>
      <c r="M364" s="211"/>
      <c r="N364" s="211"/>
      <c r="O364" s="211"/>
      <c r="P364" s="211"/>
    </row>
    <row r="365" spans="1:34">
      <c r="J365" s="211"/>
      <c r="K365" s="211"/>
      <c r="L365" s="211"/>
      <c r="M365" s="211"/>
      <c r="N365" s="211"/>
      <c r="O365" s="211"/>
      <c r="P365" s="211"/>
    </row>
    <row r="366" spans="1:34">
      <c r="J366" s="211"/>
      <c r="K366" s="211"/>
      <c r="L366" s="211"/>
      <c r="M366" s="211"/>
      <c r="N366" s="211"/>
      <c r="O366" s="211"/>
      <c r="P366" s="211"/>
    </row>
    <row r="367" spans="1:34">
      <c r="J367" s="211"/>
      <c r="K367" s="211"/>
      <c r="L367" s="211"/>
      <c r="M367" s="211"/>
      <c r="N367" s="211"/>
      <c r="O367" s="211"/>
      <c r="P367" s="211"/>
    </row>
    <row r="370" spans="1:43" ht="15.6">
      <c r="A370" s="113"/>
      <c r="B370" s="113"/>
      <c r="J370" s="284">
        <f t="shared" ref="J370:O370" si="531">J381/J388</f>
        <v>7.3250740469441699E-3</v>
      </c>
      <c r="K370" s="284">
        <f t="shared" si="531"/>
        <v>0.59307810151295315</v>
      </c>
      <c r="L370" s="284">
        <f t="shared" si="531"/>
        <v>0.98805008360863</v>
      </c>
      <c r="M370" s="284">
        <f t="shared" si="531"/>
        <v>0.64560818246052987</v>
      </c>
      <c r="N370" s="284">
        <f t="shared" si="531"/>
        <v>0.64139287686361124</v>
      </c>
      <c r="O370" s="284">
        <f t="shared" si="531"/>
        <v>0.64877866344211021</v>
      </c>
      <c r="P370" s="284">
        <f>SUM(K381:O381)/SUM(K388:O388)</f>
        <v>0.60780747936716817</v>
      </c>
    </row>
    <row r="371" spans="1:43">
      <c r="J371" s="196">
        <f>J425*((J381/11.63)/((J381/11.63)+J418))*41.868</f>
        <v>569.9688721655491</v>
      </c>
      <c r="K371" s="196">
        <f t="shared" ref="K371:P371" si="532">K425*((K381/11.63)/((K381/11.63)+K418))*41.868</f>
        <v>460336.25683565962</v>
      </c>
      <c r="L371" s="196">
        <f t="shared" si="532"/>
        <v>16569.722262301559</v>
      </c>
      <c r="M371" s="196">
        <f t="shared" si="532"/>
        <v>10461.141356861701</v>
      </c>
      <c r="N371" s="196">
        <f t="shared" si="532"/>
        <v>81844.846878523851</v>
      </c>
      <c r="O371" s="196">
        <f t="shared" si="532"/>
        <v>33251.130807155518</v>
      </c>
      <c r="P371" s="196">
        <f t="shared" si="532"/>
        <v>603102.31871083693</v>
      </c>
    </row>
    <row r="372" spans="1:43">
      <c r="A372" s="450" t="s">
        <v>414</v>
      </c>
      <c r="J372" s="68" t="s">
        <v>199</v>
      </c>
      <c r="R372" s="68" t="s">
        <v>136</v>
      </c>
      <c r="S372" s="68"/>
      <c r="AJ372" s="68" t="s">
        <v>288</v>
      </c>
    </row>
    <row r="373" spans="1:43" ht="15.6">
      <c r="A373" s="68"/>
      <c r="J373" s="210" t="s">
        <v>5</v>
      </c>
      <c r="K373" s="210" t="s">
        <v>210</v>
      </c>
      <c r="L373" s="210" t="s">
        <v>211</v>
      </c>
      <c r="M373" s="210" t="s">
        <v>214</v>
      </c>
      <c r="N373" s="210" t="s">
        <v>216</v>
      </c>
      <c r="O373" s="210" t="s">
        <v>215</v>
      </c>
      <c r="P373" s="210" t="s">
        <v>213</v>
      </c>
      <c r="Q373" s="2"/>
      <c r="R373" s="210" t="s">
        <v>5</v>
      </c>
      <c r="S373" s="210" t="s">
        <v>210</v>
      </c>
      <c r="T373" s="210" t="s">
        <v>211</v>
      </c>
      <c r="U373" s="210" t="s">
        <v>214</v>
      </c>
      <c r="V373" s="210" t="s">
        <v>216</v>
      </c>
      <c r="W373" s="210" t="s">
        <v>215</v>
      </c>
      <c r="X373" s="210" t="s">
        <v>213</v>
      </c>
      <c r="AA373" s="68" t="s">
        <v>218</v>
      </c>
      <c r="AB373" s="213" t="s">
        <v>217</v>
      </c>
      <c r="AJ373" s="68"/>
      <c r="AK373" s="210" t="s">
        <v>5</v>
      </c>
      <c r="AL373" s="210" t="s">
        <v>210</v>
      </c>
      <c r="AM373" s="210" t="s">
        <v>211</v>
      </c>
      <c r="AN373" s="210" t="s">
        <v>214</v>
      </c>
      <c r="AO373" s="210" t="s">
        <v>216</v>
      </c>
      <c r="AP373" s="210" t="s">
        <v>215</v>
      </c>
      <c r="AQ373" s="210" t="s">
        <v>213</v>
      </c>
    </row>
    <row r="374" spans="1:43" ht="15.6">
      <c r="A374" s="11" t="s">
        <v>17</v>
      </c>
      <c r="J374" s="209">
        <f t="shared" ref="J374:P374" si="533">SUM(J375:J380)</f>
        <v>18701.400000000001</v>
      </c>
      <c r="K374" s="209">
        <f t="shared" si="533"/>
        <v>57655.6</v>
      </c>
      <c r="L374" s="209">
        <f t="shared" si="533"/>
        <v>29.3</v>
      </c>
      <c r="M374" s="209">
        <f t="shared" si="533"/>
        <v>1223.8</v>
      </c>
      <c r="N374" s="209">
        <f t="shared" si="533"/>
        <v>7273.7000000000007</v>
      </c>
      <c r="O374" s="209">
        <f t="shared" si="533"/>
        <v>2939.41</v>
      </c>
      <c r="P374" s="209">
        <f t="shared" si="533"/>
        <v>87823.210000000021</v>
      </c>
      <c r="Q374" s="2"/>
      <c r="R374" s="236">
        <v>9.577</v>
      </c>
      <c r="S374" s="236">
        <v>6.774</v>
      </c>
      <c r="T374" s="236">
        <v>8.9870000000000001</v>
      </c>
      <c r="U374" s="236">
        <v>10.696</v>
      </c>
      <c r="V374" s="236">
        <v>11.404</v>
      </c>
      <c r="W374" s="236">
        <v>9.9060000000000006</v>
      </c>
      <c r="X374" s="502">
        <v>7.9139999999999997</v>
      </c>
      <c r="AA374" s="68" t="s">
        <v>5</v>
      </c>
      <c r="AC374" s="451"/>
      <c r="AJ374" s="11" t="s">
        <v>17</v>
      </c>
      <c r="AK374" s="286">
        <f t="shared" ref="AK374:AK388" si="534">IFERROR(J374*3.6/J393,"")</f>
        <v>0.37590059517594238</v>
      </c>
      <c r="AL374" s="286">
        <f t="shared" ref="AL374:AL388" si="535">IFERROR(K374*3.6/K393,"")</f>
        <v>0.53150074367206124</v>
      </c>
      <c r="AM374" s="286">
        <f t="shared" ref="AM374:AM388" si="536">IFERROR(L374*3.6/L393,"")</f>
        <v>0.4005786135529098</v>
      </c>
      <c r="AN374" s="286">
        <f t="shared" ref="AN374:AN388" si="537">IFERROR(M374*3.6/M393,"")</f>
        <v>0.33656086253415235</v>
      </c>
      <c r="AO374" s="286">
        <f t="shared" ref="AO374:AO388" si="538">IFERROR(N374*3.6/N393,"")</f>
        <v>0.31567771404166367</v>
      </c>
      <c r="AP374" s="286">
        <f t="shared" ref="AP374:AP388" si="539">IFERROR(O374*3.6/O393,"")</f>
        <v>0.36341288029775237</v>
      </c>
      <c r="AQ374" s="286">
        <f t="shared" ref="AQ374:AQ388" si="540">IFERROR(P374*3.6/P393,"")</f>
        <v>0.4548843193502361</v>
      </c>
    </row>
    <row r="375" spans="1:43" ht="15.6">
      <c r="A375" s="10" t="s">
        <v>18</v>
      </c>
      <c r="J375" s="211">
        <v>0</v>
      </c>
      <c r="K375" s="211">
        <v>237.7</v>
      </c>
      <c r="L375" s="211">
        <v>29.3</v>
      </c>
      <c r="M375" s="211">
        <v>198.6</v>
      </c>
      <c r="N375" s="211">
        <v>1405.4</v>
      </c>
      <c r="O375" s="211">
        <v>2880.9</v>
      </c>
      <c r="P375" s="209">
        <f t="shared" ref="P375:P380" si="541">SUM(J375:O375)</f>
        <v>4751.8999999999996</v>
      </c>
      <c r="Q375" s="2"/>
      <c r="R375" s="208">
        <v>0</v>
      </c>
      <c r="S375" s="208">
        <v>10.122</v>
      </c>
      <c r="T375" s="208">
        <v>8.9870000000000001</v>
      </c>
      <c r="U375" s="208">
        <v>9.4760000000000009</v>
      </c>
      <c r="V375" s="208">
        <v>8.66</v>
      </c>
      <c r="W375" s="208">
        <v>9.8930000000000007</v>
      </c>
      <c r="X375" s="236">
        <v>9.5169999999999995</v>
      </c>
      <c r="Y375" s="177"/>
      <c r="Z375" s="199">
        <f>AA375*AB375</f>
        <v>601258.01217640855</v>
      </c>
      <c r="AA375" s="237">
        <v>6374.10778838853</v>
      </c>
      <c r="AB375" s="237">
        <v>94.328183980775705</v>
      </c>
      <c r="AC375" s="216" t="s">
        <v>59</v>
      </c>
      <c r="AD375" s="388"/>
      <c r="AE375" s="216"/>
      <c r="AF375" s="215"/>
      <c r="AG375" s="237"/>
      <c r="AH375" s="237"/>
      <c r="AJ375" s="10" t="s">
        <v>18</v>
      </c>
      <c r="AK375" s="56" t="str">
        <f t="shared" si="534"/>
        <v/>
      </c>
      <c r="AL375" s="56">
        <f t="shared" si="535"/>
        <v>0.35566093657379971</v>
      </c>
      <c r="AM375" s="56">
        <f t="shared" si="536"/>
        <v>0.4005786135529098</v>
      </c>
      <c r="AN375" s="56">
        <f t="shared" si="537"/>
        <v>0.37990713381173491</v>
      </c>
      <c r="AO375" s="56">
        <f t="shared" si="538"/>
        <v>0.41570438799076215</v>
      </c>
      <c r="AP375" s="56">
        <f t="shared" si="539"/>
        <v>0.36389366218538355</v>
      </c>
      <c r="AQ375" s="286">
        <f t="shared" si="540"/>
        <v>0.37827943441877249</v>
      </c>
    </row>
    <row r="376" spans="1:43" ht="15.6">
      <c r="A376" s="10" t="s">
        <v>19</v>
      </c>
      <c r="J376" s="211">
        <v>0</v>
      </c>
      <c r="K376" s="211">
        <v>1208.5999999999999</v>
      </c>
      <c r="L376" s="211">
        <v>0</v>
      </c>
      <c r="M376" s="211">
        <v>10.4</v>
      </c>
      <c r="N376" s="211">
        <v>8.4</v>
      </c>
      <c r="O376" s="211">
        <v>39</v>
      </c>
      <c r="P376" s="209">
        <f t="shared" si="541"/>
        <v>1266.4000000000001</v>
      </c>
      <c r="Q376" s="2"/>
      <c r="R376" s="208">
        <v>0</v>
      </c>
      <c r="S376" s="208">
        <v>7.3520000000000003</v>
      </c>
      <c r="T376" s="208">
        <v>0</v>
      </c>
      <c r="U376" s="208">
        <v>15.808999999999999</v>
      </c>
      <c r="V376" s="208">
        <v>13.114000000000001</v>
      </c>
      <c r="W376" s="208">
        <v>11.315</v>
      </c>
      <c r="X376" s="236">
        <v>7.5819999999999999</v>
      </c>
      <c r="Y376" s="177"/>
      <c r="Z376" s="199">
        <f>AA376*AB376</f>
        <v>90.212499946757305</v>
      </c>
      <c r="AA376" s="237">
        <v>0.956368458923611</v>
      </c>
      <c r="AB376" s="237">
        <v>94.328183980775705</v>
      </c>
      <c r="AC376" s="216" t="s">
        <v>60</v>
      </c>
      <c r="AD376" s="388"/>
      <c r="AE376" s="216"/>
      <c r="AF376" s="215"/>
      <c r="AG376" s="237"/>
      <c r="AH376" s="237"/>
      <c r="AJ376" s="10" t="s">
        <v>19</v>
      </c>
      <c r="AK376" s="56" t="str">
        <f t="shared" si="534"/>
        <v/>
      </c>
      <c r="AL376" s="56">
        <f t="shared" si="535"/>
        <v>0.48966267682263337</v>
      </c>
      <c r="AM376" s="56" t="str">
        <f t="shared" si="536"/>
        <v/>
      </c>
      <c r="AN376" s="56">
        <f t="shared" si="537"/>
        <v>0.22771838825985202</v>
      </c>
      <c r="AO376" s="56">
        <f t="shared" si="538"/>
        <v>0.27451578465761778</v>
      </c>
      <c r="AP376" s="56">
        <f t="shared" si="539"/>
        <v>0.31816173221387545</v>
      </c>
      <c r="AQ376" s="286">
        <f t="shared" si="540"/>
        <v>0.47482662939353737</v>
      </c>
    </row>
    <row r="377" spans="1:43" ht="15.6">
      <c r="A377" s="10" t="s">
        <v>20</v>
      </c>
      <c r="J377" s="211">
        <v>18701.400000000001</v>
      </c>
      <c r="K377" s="211">
        <v>260.89999999999998</v>
      </c>
      <c r="L377" s="211">
        <v>0</v>
      </c>
      <c r="M377" s="211">
        <v>1012.5</v>
      </c>
      <c r="N377" s="211">
        <v>4182.6000000000004</v>
      </c>
      <c r="O377" s="211">
        <v>8.6</v>
      </c>
      <c r="P377" s="209">
        <f t="shared" si="541"/>
        <v>24166</v>
      </c>
      <c r="Q377" s="2"/>
      <c r="R377" s="208">
        <v>9.577</v>
      </c>
      <c r="S377" s="208">
        <v>9.4659999999999993</v>
      </c>
      <c r="T377" s="208">
        <v>0</v>
      </c>
      <c r="U377" s="208">
        <v>10.888999999999999</v>
      </c>
      <c r="V377" s="208">
        <v>13.802</v>
      </c>
      <c r="W377" s="208">
        <v>9.0570000000000004</v>
      </c>
      <c r="X377" s="236">
        <v>10.362</v>
      </c>
      <c r="Y377" s="177"/>
      <c r="Z377" s="199">
        <f>AA377*AB377</f>
        <v>0</v>
      </c>
      <c r="AA377" s="237"/>
      <c r="AB377" s="237">
        <v>101</v>
      </c>
      <c r="AC377" s="216" t="s">
        <v>61</v>
      </c>
      <c r="AD377" s="388"/>
      <c r="AE377" s="216"/>
      <c r="AF377" s="215"/>
      <c r="AG377" s="237"/>
      <c r="AH377" s="237"/>
      <c r="AJ377" s="10" t="s">
        <v>20</v>
      </c>
      <c r="AK377" s="56">
        <f t="shared" si="534"/>
        <v>0.37590059517594238</v>
      </c>
      <c r="AL377" s="56">
        <f t="shared" si="535"/>
        <v>0.38030847242763577</v>
      </c>
      <c r="AM377" s="56" t="str">
        <f t="shared" si="536"/>
        <v/>
      </c>
      <c r="AN377" s="56">
        <f t="shared" si="537"/>
        <v>0.33060887133804762</v>
      </c>
      <c r="AO377" s="56">
        <f t="shared" si="538"/>
        <v>0.26083176351253445</v>
      </c>
      <c r="AP377" s="56">
        <f t="shared" si="539"/>
        <v>0.3974826101358066</v>
      </c>
      <c r="AQ377" s="286">
        <f t="shared" si="540"/>
        <v>0.34742862861427704</v>
      </c>
    </row>
    <row r="378" spans="1:43" ht="15.6">
      <c r="A378" s="10" t="s">
        <v>21</v>
      </c>
      <c r="J378" s="211">
        <v>0</v>
      </c>
      <c r="K378" s="211">
        <v>55948.3</v>
      </c>
      <c r="L378" s="211">
        <v>0</v>
      </c>
      <c r="M378" s="211">
        <v>2.2999999999999998</v>
      </c>
      <c r="N378" s="211">
        <v>1677.3</v>
      </c>
      <c r="O378" s="211">
        <v>10.91</v>
      </c>
      <c r="P378" s="209">
        <f t="shared" si="541"/>
        <v>57638.810000000012</v>
      </c>
      <c r="Q378" s="2"/>
      <c r="R378" s="208">
        <v>0</v>
      </c>
      <c r="S378" s="208">
        <v>6.734</v>
      </c>
      <c r="T378" s="208">
        <v>0</v>
      </c>
      <c r="U378" s="208">
        <v>8.1880000000000006</v>
      </c>
      <c r="V378" s="208">
        <v>7.7149999999999999</v>
      </c>
      <c r="W378" s="208">
        <v>8.9949999999999992</v>
      </c>
      <c r="X378" s="236">
        <v>6.7629999999999999</v>
      </c>
      <c r="Y378" s="177"/>
      <c r="Z378" s="199">
        <f>AA378*AB378</f>
        <v>0</v>
      </c>
      <c r="AA378" s="237">
        <v>0</v>
      </c>
      <c r="AB378" s="237">
        <v>96.1</v>
      </c>
      <c r="AC378" s="216" t="s">
        <v>62</v>
      </c>
      <c r="AD378" s="388"/>
      <c r="AE378" s="216"/>
      <c r="AF378" s="215"/>
      <c r="AG378" s="237"/>
      <c r="AH378" s="237"/>
      <c r="AJ378" s="10" t="s">
        <v>21</v>
      </c>
      <c r="AK378" s="56" t="str">
        <f t="shared" si="534"/>
        <v/>
      </c>
      <c r="AL378" s="56">
        <f t="shared" si="535"/>
        <v>0.53460053460053458</v>
      </c>
      <c r="AM378" s="56" t="str">
        <f t="shared" si="536"/>
        <v/>
      </c>
      <c r="AN378" s="56">
        <f t="shared" si="537"/>
        <v>0.43966780654616511</v>
      </c>
      <c r="AO378" s="56">
        <f t="shared" si="538"/>
        <v>0.46662346079066758</v>
      </c>
      <c r="AP378" s="56">
        <f t="shared" si="539"/>
        <v>0.40022234574763765</v>
      </c>
      <c r="AQ378" s="286">
        <f t="shared" si="540"/>
        <v>0.53230552880865201</v>
      </c>
    </row>
    <row r="379" spans="1:43" ht="15.6">
      <c r="A379" s="10" t="s">
        <v>23</v>
      </c>
      <c r="J379" s="211">
        <v>0</v>
      </c>
      <c r="K379" s="211">
        <v>0</v>
      </c>
      <c r="L379" s="211">
        <v>0</v>
      </c>
      <c r="M379" s="211">
        <v>0</v>
      </c>
      <c r="N379" s="211">
        <v>0</v>
      </c>
      <c r="O379" s="211">
        <v>0</v>
      </c>
      <c r="P379" s="209">
        <f t="shared" si="541"/>
        <v>0</v>
      </c>
      <c r="Q379" s="2"/>
      <c r="R379" s="208">
        <v>0</v>
      </c>
      <c r="S379" s="208">
        <v>0</v>
      </c>
      <c r="T379" s="208">
        <v>0</v>
      </c>
      <c r="U379" s="208">
        <v>0</v>
      </c>
      <c r="V379" s="208">
        <v>0</v>
      </c>
      <c r="W379" s="208">
        <v>0</v>
      </c>
      <c r="X379" s="236">
        <v>0</v>
      </c>
      <c r="Y379" s="177"/>
      <c r="AA379" t="s">
        <v>210</v>
      </c>
      <c r="AC379" s="451"/>
      <c r="AD379" s="388"/>
      <c r="AE379" s="223"/>
      <c r="AF379" s="240"/>
      <c r="AG379" s="240"/>
      <c r="AH379" s="240"/>
      <c r="AJ379" s="10" t="s">
        <v>23</v>
      </c>
      <c r="AK379" s="56" t="str">
        <f t="shared" si="534"/>
        <v/>
      </c>
      <c r="AL379" s="56" t="str">
        <f t="shared" si="535"/>
        <v/>
      </c>
      <c r="AM379" s="56" t="str">
        <f t="shared" si="536"/>
        <v/>
      </c>
      <c r="AN379" s="56" t="str">
        <f t="shared" si="537"/>
        <v/>
      </c>
      <c r="AO379" s="56" t="str">
        <f t="shared" si="538"/>
        <v/>
      </c>
      <c r="AP379" s="56" t="str">
        <f t="shared" si="539"/>
        <v/>
      </c>
      <c r="AQ379" s="286" t="str">
        <f t="shared" si="540"/>
        <v/>
      </c>
    </row>
    <row r="380" spans="1:43" ht="15.6">
      <c r="A380" s="10" t="s">
        <v>387</v>
      </c>
      <c r="J380" s="211">
        <v>0</v>
      </c>
      <c r="K380" s="211">
        <v>0.1</v>
      </c>
      <c r="L380" s="211">
        <v>0</v>
      </c>
      <c r="M380" s="211">
        <v>0</v>
      </c>
      <c r="N380" s="211">
        <v>0</v>
      </c>
      <c r="O380" s="211">
        <v>0</v>
      </c>
      <c r="P380" s="209">
        <f t="shared" si="541"/>
        <v>0.1</v>
      </c>
      <c r="Q380" s="2"/>
      <c r="R380" s="208">
        <v>0</v>
      </c>
      <c r="S380" s="208">
        <v>5.8140000000000001</v>
      </c>
      <c r="T380" s="208">
        <v>0</v>
      </c>
      <c r="U380" s="208">
        <v>0</v>
      </c>
      <c r="V380" s="208">
        <v>0</v>
      </c>
      <c r="W380" s="208">
        <v>0</v>
      </c>
      <c r="X380" s="236">
        <v>5.8140000000000001</v>
      </c>
      <c r="Y380" s="177"/>
      <c r="Z380" s="199"/>
      <c r="AA380" s="237">
        <v>19609.000150509321</v>
      </c>
      <c r="AB380" s="237">
        <v>57.514354246521499</v>
      </c>
      <c r="AC380" s="451"/>
      <c r="AD380" s="388"/>
      <c r="AE380" s="216"/>
      <c r="AF380" s="215"/>
      <c r="AG380" s="237"/>
      <c r="AH380" s="237"/>
      <c r="AJ380" s="10" t="s">
        <v>387</v>
      </c>
      <c r="AK380" s="56" t="str">
        <f t="shared" si="534"/>
        <v/>
      </c>
      <c r="AL380" s="56" t="str">
        <f t="shared" si="535"/>
        <v/>
      </c>
      <c r="AM380" s="56" t="str">
        <f t="shared" si="536"/>
        <v/>
      </c>
      <c r="AN380" s="56" t="str">
        <f t="shared" si="537"/>
        <v/>
      </c>
      <c r="AO380" s="56" t="str">
        <f t="shared" si="538"/>
        <v/>
      </c>
      <c r="AP380" s="56" t="str">
        <f t="shared" si="539"/>
        <v/>
      </c>
      <c r="AQ380" s="286" t="str">
        <f t="shared" si="540"/>
        <v/>
      </c>
    </row>
    <row r="381" spans="1:43" ht="15.6">
      <c r="A381" s="11" t="s">
        <v>24</v>
      </c>
      <c r="J381" s="209">
        <f t="shared" ref="J381:P381" si="542">SUM(J382:J387)</f>
        <v>138</v>
      </c>
      <c r="K381" s="209">
        <f t="shared" si="542"/>
        <v>84031.54</v>
      </c>
      <c r="L381" s="209">
        <f t="shared" si="542"/>
        <v>2422.6</v>
      </c>
      <c r="M381" s="209">
        <f t="shared" si="542"/>
        <v>2229.44</v>
      </c>
      <c r="N381" s="209">
        <f t="shared" si="542"/>
        <v>13009.5</v>
      </c>
      <c r="O381" s="209">
        <f t="shared" si="542"/>
        <v>5429.7</v>
      </c>
      <c r="P381" s="209">
        <f t="shared" si="542"/>
        <v>107260.77999999998</v>
      </c>
      <c r="Q381" s="2"/>
      <c r="R381" s="236">
        <v>4.4429999999999996</v>
      </c>
      <c r="S381" s="236">
        <v>6.141</v>
      </c>
      <c r="T381" s="236">
        <v>8.3569999999999993</v>
      </c>
      <c r="U381" s="236">
        <v>6.23</v>
      </c>
      <c r="V381" s="236">
        <v>8.2460000000000004</v>
      </c>
      <c r="W381" s="236">
        <v>7.3490000000000002</v>
      </c>
      <c r="X381" s="502">
        <v>6.5069999999999997</v>
      </c>
      <c r="Y381" s="177"/>
      <c r="Z381" s="199"/>
      <c r="AA381" s="470" t="s">
        <v>237</v>
      </c>
      <c r="AB381" s="388"/>
      <c r="AC381" s="451"/>
      <c r="AD381" s="388"/>
      <c r="AE381" s="223"/>
      <c r="AF381" s="240"/>
      <c r="AG381" s="240"/>
      <c r="AH381" s="240"/>
      <c r="AJ381" s="11" t="s">
        <v>24</v>
      </c>
      <c r="AK381" s="286">
        <f t="shared" si="534"/>
        <v>0.81020360768923683</v>
      </c>
      <c r="AL381" s="286">
        <f t="shared" si="535"/>
        <v>0.58627504174390355</v>
      </c>
      <c r="AM381" s="286">
        <f t="shared" si="536"/>
        <v>0.43075032690925946</v>
      </c>
      <c r="AN381" s="286">
        <f t="shared" si="537"/>
        <v>0.57784829675368732</v>
      </c>
      <c r="AO381" s="286">
        <f t="shared" si="538"/>
        <v>0.43654604525157109</v>
      </c>
      <c r="AP381" s="286">
        <f t="shared" si="539"/>
        <v>0.48988695579779284</v>
      </c>
      <c r="AQ381" s="286">
        <f t="shared" si="540"/>
        <v>0.55326575775783293</v>
      </c>
    </row>
    <row r="382" spans="1:43" ht="15.6">
      <c r="A382" s="10" t="s">
        <v>25</v>
      </c>
      <c r="J382" s="211">
        <v>0</v>
      </c>
      <c r="K382" s="211">
        <v>10426.200000000001</v>
      </c>
      <c r="L382" s="211">
        <v>153.80000000000001</v>
      </c>
      <c r="M382" s="211">
        <v>30.8</v>
      </c>
      <c r="N382" s="211">
        <v>2113.4</v>
      </c>
      <c r="O382" s="211">
        <v>5394.6</v>
      </c>
      <c r="P382" s="209">
        <f t="shared" ref="P382:P387" si="543">SUM(J382:O382)</f>
        <v>18118.8</v>
      </c>
      <c r="Q382" s="2"/>
      <c r="R382" s="208">
        <v>0</v>
      </c>
      <c r="S382" s="208">
        <v>5.7190000000000003</v>
      </c>
      <c r="T382" s="208">
        <v>6.6340000000000003</v>
      </c>
      <c r="U382" s="208">
        <v>6.7050000000000001</v>
      </c>
      <c r="V382" s="208">
        <v>7.4749999999999996</v>
      </c>
      <c r="W382" s="208">
        <v>7.3470000000000004</v>
      </c>
      <c r="X382" s="236">
        <v>6.4180000000000001</v>
      </c>
      <c r="Y382" s="177"/>
      <c r="Z382" s="199">
        <f>AA382*AB382</f>
        <v>417.6754858848069</v>
      </c>
      <c r="AA382" s="237">
        <v>2.1656654145074601</v>
      </c>
      <c r="AB382" s="237">
        <v>192.86242606399998</v>
      </c>
      <c r="AC382" s="216" t="s">
        <v>154</v>
      </c>
      <c r="AD382" s="388"/>
      <c r="AE382" s="216"/>
      <c r="AF382" s="215"/>
      <c r="AG382" s="237"/>
      <c r="AH382" s="237"/>
      <c r="AJ382" s="10" t="s">
        <v>25</v>
      </c>
      <c r="AK382" s="56" t="str">
        <f t="shared" si="534"/>
        <v/>
      </c>
      <c r="AL382" s="56">
        <f t="shared" si="535"/>
        <v>0.62948067844028677</v>
      </c>
      <c r="AM382" s="56">
        <f t="shared" si="536"/>
        <v>0.54265902924329212</v>
      </c>
      <c r="AN382" s="56">
        <f t="shared" si="537"/>
        <v>0.53691275167785235</v>
      </c>
      <c r="AO382" s="56">
        <f t="shared" si="538"/>
        <v>0.48160535117056863</v>
      </c>
      <c r="AP382" s="56">
        <f t="shared" si="539"/>
        <v>0.48999591670069415</v>
      </c>
      <c r="AQ382" s="286">
        <f t="shared" si="540"/>
        <v>0.56092436509767418</v>
      </c>
    </row>
    <row r="383" spans="1:43" ht="15.6">
      <c r="A383" s="10" t="s">
        <v>26</v>
      </c>
      <c r="J383" s="211">
        <v>0</v>
      </c>
      <c r="K383" s="211">
        <v>4826.24</v>
      </c>
      <c r="L383" s="211">
        <v>0</v>
      </c>
      <c r="M383" s="211">
        <v>415.34</v>
      </c>
      <c r="N383" s="211">
        <v>20.6</v>
      </c>
      <c r="O383" s="211">
        <v>4.9000000000000004</v>
      </c>
      <c r="P383" s="209">
        <f t="shared" si="543"/>
        <v>5267.08</v>
      </c>
      <c r="Q383" s="2"/>
      <c r="R383" s="208">
        <v>0</v>
      </c>
      <c r="S383" s="208">
        <v>5.89</v>
      </c>
      <c r="T383" s="208">
        <v>4.8730000000000002</v>
      </c>
      <c r="U383" s="208">
        <v>5.5380000000000003</v>
      </c>
      <c r="V383" s="208">
        <v>9.2560000000000002</v>
      </c>
      <c r="W383" s="208">
        <v>6.3689999999999998</v>
      </c>
      <c r="X383" s="236">
        <v>5.8760000000000003</v>
      </c>
      <c r="Y383" s="177"/>
      <c r="Z383" s="199">
        <f>AA383*AB383</f>
        <v>89241.464153553708</v>
      </c>
      <c r="AA383" s="237">
        <v>356.56331656417501</v>
      </c>
      <c r="AB383" s="237">
        <v>250.28223602326699</v>
      </c>
      <c r="AC383" s="216" t="s">
        <v>155</v>
      </c>
      <c r="AD383" s="388"/>
      <c r="AE383" s="216"/>
      <c r="AF383" s="215"/>
      <c r="AG383" s="237"/>
      <c r="AH383" s="237"/>
      <c r="AJ383" s="10" t="s">
        <v>26</v>
      </c>
      <c r="AK383" s="56" t="str">
        <f t="shared" si="534"/>
        <v/>
      </c>
      <c r="AL383" s="56">
        <f t="shared" si="535"/>
        <v>0.61120543293718177</v>
      </c>
      <c r="AM383" s="56" t="str">
        <f t="shared" si="536"/>
        <v/>
      </c>
      <c r="AN383" s="56">
        <f t="shared" si="537"/>
        <v>0.65005417118093167</v>
      </c>
      <c r="AO383" s="56">
        <f t="shared" si="538"/>
        <v>0.38893690579083839</v>
      </c>
      <c r="AP383" s="56">
        <f t="shared" si="539"/>
        <v>0.56523787093735278</v>
      </c>
      <c r="AQ383" s="286">
        <f t="shared" si="540"/>
        <v>0.61267699402670861</v>
      </c>
    </row>
    <row r="384" spans="1:43" ht="15.6">
      <c r="A384" s="10" t="s">
        <v>27</v>
      </c>
      <c r="J384" s="211">
        <v>0</v>
      </c>
      <c r="K384" s="211">
        <v>67335.199999999997</v>
      </c>
      <c r="L384" s="211">
        <v>1508.6</v>
      </c>
      <c r="M384" s="211">
        <v>1441.3</v>
      </c>
      <c r="N384" s="211">
        <v>6343.7</v>
      </c>
      <c r="O384" s="211">
        <v>26.4</v>
      </c>
      <c r="P384" s="209">
        <f t="shared" si="543"/>
        <v>76655.199999999997</v>
      </c>
      <c r="Q384" s="2"/>
      <c r="R384" s="208">
        <v>0</v>
      </c>
      <c r="S384" s="208">
        <v>6.2</v>
      </c>
      <c r="T384" s="208">
        <v>8.15</v>
      </c>
      <c r="U384" s="208">
        <v>6.4880000000000004</v>
      </c>
      <c r="V384" s="208">
        <v>6.2919999999999998</v>
      </c>
      <c r="W384" s="208">
        <v>7.5389999999999997</v>
      </c>
      <c r="X384" s="236">
        <v>6.2519999999999998</v>
      </c>
      <c r="Y384" s="177"/>
      <c r="Z384" s="199">
        <f>AA384*AB384</f>
        <v>8377.042320016224</v>
      </c>
      <c r="AA384" s="237">
        <v>190.35219265860999</v>
      </c>
      <c r="AB384" s="237">
        <v>44.008120962599875</v>
      </c>
      <c r="AC384" s="216" t="s">
        <v>156</v>
      </c>
      <c r="AD384" s="388"/>
      <c r="AE384" s="216"/>
      <c r="AF384" s="215"/>
      <c r="AG384" s="237"/>
      <c r="AH384" s="237"/>
      <c r="AJ384" s="10" t="s">
        <v>27</v>
      </c>
      <c r="AK384" s="56" t="str">
        <f t="shared" si="534"/>
        <v/>
      </c>
      <c r="AL384" s="56">
        <f t="shared" si="535"/>
        <v>0.58064516129032262</v>
      </c>
      <c r="AM384" s="56">
        <f t="shared" si="536"/>
        <v>0.44171779141104295</v>
      </c>
      <c r="AN384" s="56">
        <f t="shared" si="537"/>
        <v>0.55487053020961785</v>
      </c>
      <c r="AO384" s="56">
        <f t="shared" si="538"/>
        <v>0.57215511760966309</v>
      </c>
      <c r="AP384" s="56">
        <f t="shared" si="539"/>
        <v>0.47751691205730201</v>
      </c>
      <c r="AQ384" s="286">
        <f t="shared" si="540"/>
        <v>0.57582803775659264</v>
      </c>
    </row>
    <row r="385" spans="1:43" ht="15.6">
      <c r="A385" s="10" t="s">
        <v>28</v>
      </c>
      <c r="J385" s="211">
        <v>10.4</v>
      </c>
      <c r="K385" s="211">
        <v>642.79999999999995</v>
      </c>
      <c r="L385" s="211">
        <v>0</v>
      </c>
      <c r="M385" s="211">
        <v>178.8</v>
      </c>
      <c r="N385" s="211">
        <v>633.5</v>
      </c>
      <c r="O385" s="211">
        <v>0</v>
      </c>
      <c r="P385" s="209">
        <f t="shared" si="543"/>
        <v>1465.5</v>
      </c>
      <c r="Q385" s="2"/>
      <c r="R385" s="208">
        <v>5.024</v>
      </c>
      <c r="S385" s="208">
        <v>4.9610000000000003</v>
      </c>
      <c r="T385" s="208">
        <v>0</v>
      </c>
      <c r="U385" s="208">
        <v>4.8079999999999998</v>
      </c>
      <c r="V385" s="208">
        <v>6.0259999999999998</v>
      </c>
      <c r="W385" s="208">
        <v>0</v>
      </c>
      <c r="X385" s="236">
        <v>5.4029999999999996</v>
      </c>
      <c r="Y385" s="177"/>
      <c r="Z385" s="199">
        <f>AA385*AB385</f>
        <v>396.2407439638323</v>
      </c>
      <c r="AA385" s="237">
        <v>7.0631148656654599</v>
      </c>
      <c r="AB385" s="237">
        <v>56.1</v>
      </c>
      <c r="AC385" s="217" t="s">
        <v>220</v>
      </c>
      <c r="AD385" s="388"/>
      <c r="AE385" s="223"/>
      <c r="AF385" s="240"/>
      <c r="AG385" s="240"/>
      <c r="AH385" s="240"/>
      <c r="AJ385" s="10" t="s">
        <v>28</v>
      </c>
      <c r="AK385" s="56">
        <f t="shared" si="534"/>
        <v>0.71656050955414019</v>
      </c>
      <c r="AL385" s="56">
        <f t="shared" si="535"/>
        <v>0.7256601491634751</v>
      </c>
      <c r="AM385" s="56" t="str">
        <f t="shared" si="536"/>
        <v/>
      </c>
      <c r="AN385" s="56">
        <f t="shared" si="537"/>
        <v>0.74875207986688863</v>
      </c>
      <c r="AO385" s="56">
        <f t="shared" si="538"/>
        <v>0.59741121805509456</v>
      </c>
      <c r="AP385" s="56" t="str">
        <f t="shared" si="539"/>
        <v/>
      </c>
      <c r="AQ385" s="286">
        <f t="shared" si="540"/>
        <v>0.66627754380985127</v>
      </c>
    </row>
    <row r="386" spans="1:43" ht="15.6">
      <c r="A386" s="10" t="s">
        <v>29</v>
      </c>
      <c r="J386" s="211">
        <v>127.6</v>
      </c>
      <c r="K386" s="211">
        <v>800.9</v>
      </c>
      <c r="L386" s="211">
        <v>760.2</v>
      </c>
      <c r="M386" s="211">
        <v>163.19999999999999</v>
      </c>
      <c r="N386" s="211">
        <v>3898.3</v>
      </c>
      <c r="O386" s="211">
        <v>3.6</v>
      </c>
      <c r="P386" s="209">
        <f t="shared" si="543"/>
        <v>5753.8000000000011</v>
      </c>
      <c r="Q386" s="2"/>
      <c r="R386" s="208">
        <v>4.3959999999999999</v>
      </c>
      <c r="S386" s="208">
        <v>9.0790000000000006</v>
      </c>
      <c r="T386" s="208">
        <v>9.1180000000000003</v>
      </c>
      <c r="U386" s="208">
        <v>7.181</v>
      </c>
      <c r="V386" s="208">
        <v>12.201000000000001</v>
      </c>
      <c r="W386" s="208">
        <v>10.143000000000001</v>
      </c>
      <c r="X386" s="236">
        <v>11.042</v>
      </c>
      <c r="Y386" s="177"/>
      <c r="AA386" s="470" t="s">
        <v>238</v>
      </c>
      <c r="AB386" s="388"/>
      <c r="AC386" s="451"/>
      <c r="AD386" s="388"/>
      <c r="AJ386" s="10" t="s">
        <v>29</v>
      </c>
      <c r="AK386" s="56">
        <f t="shared" si="534"/>
        <v>0.81892629663330307</v>
      </c>
      <c r="AL386" s="56">
        <f t="shared" si="535"/>
        <v>0.39651944046701176</v>
      </c>
      <c r="AM386" s="56">
        <f t="shared" si="536"/>
        <v>0.39482342618995392</v>
      </c>
      <c r="AN386" s="56">
        <f t="shared" si="537"/>
        <v>0.50132293552430018</v>
      </c>
      <c r="AO386" s="56">
        <f t="shared" si="538"/>
        <v>0.29505778214900419</v>
      </c>
      <c r="AP386" s="56">
        <f t="shared" si="539"/>
        <v>0.35492457852706299</v>
      </c>
      <c r="AQ386" s="286">
        <f t="shared" si="540"/>
        <v>0.32601785127824284</v>
      </c>
    </row>
    <row r="387" spans="1:43" ht="15.6">
      <c r="A387" s="10" t="s">
        <v>389</v>
      </c>
      <c r="J387" s="211">
        <v>0</v>
      </c>
      <c r="K387" s="211">
        <v>0.2</v>
      </c>
      <c r="L387" s="211">
        <v>0</v>
      </c>
      <c r="M387" s="211">
        <v>0</v>
      </c>
      <c r="N387" s="211">
        <v>0</v>
      </c>
      <c r="O387" s="211">
        <v>0.2</v>
      </c>
      <c r="P387" s="209">
        <f t="shared" si="543"/>
        <v>0.4</v>
      </c>
      <c r="Q387" s="2"/>
      <c r="R387" s="208">
        <v>0</v>
      </c>
      <c r="S387" s="208">
        <v>8.2040000000000006</v>
      </c>
      <c r="T387" s="208">
        <v>0</v>
      </c>
      <c r="U387" s="208">
        <v>0</v>
      </c>
      <c r="V387" s="208">
        <v>0</v>
      </c>
      <c r="W387" s="208">
        <v>9.98</v>
      </c>
      <c r="X387" s="236">
        <v>9.077</v>
      </c>
      <c r="Y387" s="177"/>
      <c r="Z387" s="199">
        <f t="shared" ref="Z387:Z393" si="544">AA387*AB387</f>
        <v>1.7716096276989897</v>
      </c>
      <c r="AA387" s="237">
        <v>2.4777757030755101E-2</v>
      </c>
      <c r="AB387" s="237">
        <v>71.5</v>
      </c>
      <c r="AC387" s="216" t="s">
        <v>66</v>
      </c>
      <c r="AD387" s="388"/>
      <c r="AE387" s="216"/>
      <c r="AF387" s="237"/>
      <c r="AG387" s="237"/>
      <c r="AH387" s="237"/>
      <c r="AJ387" s="10" t="s">
        <v>389</v>
      </c>
      <c r="AK387" s="56" t="str">
        <f t="shared" si="534"/>
        <v/>
      </c>
      <c r="AL387" s="56" t="str">
        <f t="shared" si="535"/>
        <v/>
      </c>
      <c r="AM387" s="56" t="str">
        <f t="shared" si="536"/>
        <v/>
      </c>
      <c r="AN387" s="56" t="str">
        <f t="shared" si="537"/>
        <v/>
      </c>
      <c r="AO387" s="56" t="str">
        <f t="shared" si="538"/>
        <v/>
      </c>
      <c r="AP387" s="56" t="str">
        <f t="shared" si="539"/>
        <v/>
      </c>
      <c r="AQ387" s="286" t="str">
        <f t="shared" si="540"/>
        <v/>
      </c>
    </row>
    <row r="388" spans="1:43" ht="15.6">
      <c r="A388" s="11" t="s">
        <v>10</v>
      </c>
      <c r="J388" s="507">
        <f t="shared" ref="J388:P388" si="545">J374+J381</f>
        <v>18839.400000000001</v>
      </c>
      <c r="K388" s="507">
        <f t="shared" si="545"/>
        <v>141687.13999999998</v>
      </c>
      <c r="L388" s="507">
        <f t="shared" si="545"/>
        <v>2451.9</v>
      </c>
      <c r="M388" s="507">
        <f t="shared" si="545"/>
        <v>3453.24</v>
      </c>
      <c r="N388" s="507">
        <f t="shared" si="545"/>
        <v>20283.2</v>
      </c>
      <c r="O388" s="507">
        <f t="shared" si="545"/>
        <v>8369.11</v>
      </c>
      <c r="P388" s="236">
        <f t="shared" si="545"/>
        <v>195083.99</v>
      </c>
      <c r="Q388" s="2"/>
      <c r="R388" s="236">
        <v>9.5389999999999997</v>
      </c>
      <c r="S388" s="236">
        <v>6.3979999999999997</v>
      </c>
      <c r="T388" s="236">
        <v>8.3650000000000002</v>
      </c>
      <c r="U388" s="236">
        <v>7.8129999999999997</v>
      </c>
      <c r="V388" s="236">
        <v>9.3789999999999996</v>
      </c>
      <c r="W388" s="236">
        <v>8.2469999999999999</v>
      </c>
      <c r="X388" s="236">
        <v>7.141</v>
      </c>
      <c r="Y388" s="177"/>
      <c r="Z388" s="199">
        <f t="shared" si="544"/>
        <v>0</v>
      </c>
      <c r="AA388" s="237">
        <v>0</v>
      </c>
      <c r="AB388" s="237">
        <v>97.286951941375108</v>
      </c>
      <c r="AC388" s="216" t="s">
        <v>67</v>
      </c>
      <c r="AD388" s="388"/>
      <c r="AE388" s="216"/>
      <c r="AF388" s="237"/>
      <c r="AG388" s="237"/>
      <c r="AH388" s="237"/>
      <c r="AJ388" s="11" t="s">
        <v>10</v>
      </c>
      <c r="AK388" s="286">
        <f t="shared" si="534"/>
        <v>0.3773824045425504</v>
      </c>
      <c r="AL388" s="286">
        <f t="shared" si="535"/>
        <v>0.56267871020328741</v>
      </c>
      <c r="AM388" s="286">
        <f t="shared" si="536"/>
        <v>0.43036296940307606</v>
      </c>
      <c r="AN388" s="286">
        <f t="shared" si="537"/>
        <v>0.46077804396970418</v>
      </c>
      <c r="AO388" s="286">
        <f t="shared" si="538"/>
        <v>0.38384242063038293</v>
      </c>
      <c r="AP388" s="286">
        <f t="shared" si="539"/>
        <v>0.43652943719332088</v>
      </c>
      <c r="AQ388" s="286">
        <f t="shared" si="540"/>
        <v>0.50417691071101522</v>
      </c>
    </row>
    <row r="389" spans="1:43">
      <c r="J389" s="177">
        <f t="shared" ref="J389:P389" si="546">J381/11.63</f>
        <v>11.865864144453997</v>
      </c>
      <c r="K389" s="177">
        <f t="shared" si="546"/>
        <v>7225.4118658641437</v>
      </c>
      <c r="L389" s="177">
        <f t="shared" si="546"/>
        <v>208.30610490111778</v>
      </c>
      <c r="M389" s="177">
        <f t="shared" si="546"/>
        <v>191.69733447979362</v>
      </c>
      <c r="N389" s="177">
        <f t="shared" si="546"/>
        <v>1118.6156491831471</v>
      </c>
      <c r="O389" s="177">
        <f t="shared" si="546"/>
        <v>466.87016337059322</v>
      </c>
      <c r="P389" s="177">
        <f t="shared" si="546"/>
        <v>9222.7669819432485</v>
      </c>
      <c r="Y389" s="177"/>
      <c r="Z389" s="199">
        <f t="shared" si="544"/>
        <v>170.62171803501212</v>
      </c>
      <c r="AA389" s="237">
        <v>2.7039891923139798</v>
      </c>
      <c r="AB389" s="237">
        <v>63.1</v>
      </c>
      <c r="AC389" s="216" t="s">
        <v>69</v>
      </c>
      <c r="AD389" s="388"/>
      <c r="AE389" s="216"/>
      <c r="AF389" s="237"/>
      <c r="AG389" s="237"/>
      <c r="AH389" s="237"/>
    </row>
    <row r="390" spans="1:43">
      <c r="J390" s="56"/>
      <c r="K390" s="56">
        <f>SUM(K381:M381)/SUM(K388:M388)</f>
        <v>0.60086869042201951</v>
      </c>
      <c r="L390" s="56"/>
      <c r="M390" s="56"/>
      <c r="N390" s="56">
        <f>N381/N388</f>
        <v>0.64139287686361124</v>
      </c>
      <c r="O390" s="56">
        <f>O381/O388</f>
        <v>0.64877866344211021</v>
      </c>
      <c r="Y390" s="177"/>
      <c r="Z390" s="199">
        <f t="shared" si="544"/>
        <v>16441.770558888795</v>
      </c>
      <c r="AA390" s="237">
        <v>281.899110375107</v>
      </c>
      <c r="AB390" s="237">
        <v>58.325017546208898</v>
      </c>
      <c r="AC390" s="216" t="s">
        <v>70</v>
      </c>
      <c r="AD390" s="388"/>
      <c r="AE390" s="216"/>
      <c r="AF390" s="237"/>
      <c r="AG390" s="237"/>
      <c r="AH390" s="237"/>
      <c r="AJ390" s="68"/>
    </row>
    <row r="391" spans="1:43">
      <c r="J391" s="68" t="s">
        <v>189</v>
      </c>
      <c r="K391" s="56">
        <f>(SUM(K400:M400)/41.868)/SUM(K425:M425)</f>
        <v>0.75306564022008271</v>
      </c>
      <c r="L391" s="56"/>
      <c r="M391" s="56"/>
      <c r="N391" s="56">
        <f>(N400/41.868)/N425</f>
        <v>0.68878636928592096</v>
      </c>
      <c r="O391" s="56">
        <f>(O400/41.868)/O425</f>
        <v>0.75537281728898309</v>
      </c>
      <c r="Y391" s="177"/>
      <c r="Z391" s="199">
        <f t="shared" si="544"/>
        <v>6649.5689826941643</v>
      </c>
      <c r="AA391" s="237">
        <v>89.737773045805199</v>
      </c>
      <c r="AB391" s="237">
        <v>74.099999999999994</v>
      </c>
      <c r="AC391" s="216" t="s">
        <v>71</v>
      </c>
      <c r="AD391" s="388"/>
      <c r="AE391" s="216"/>
      <c r="AF391" s="237"/>
      <c r="AG391" s="237"/>
      <c r="AH391" s="237"/>
      <c r="AJ391" s="68"/>
    </row>
    <row r="392" spans="1:43">
      <c r="A392" s="68" t="str">
        <f>$A$372</f>
        <v>Dati 2019 lorda</v>
      </c>
      <c r="J392" s="210" t="s">
        <v>5</v>
      </c>
      <c r="K392" s="210" t="s">
        <v>210</v>
      </c>
      <c r="L392" s="210" t="s">
        <v>211</v>
      </c>
      <c r="M392" s="210" t="s">
        <v>214</v>
      </c>
      <c r="N392" s="210" t="s">
        <v>216</v>
      </c>
      <c r="O392" s="210" t="s">
        <v>215</v>
      </c>
      <c r="P392" s="210" t="s">
        <v>213</v>
      </c>
      <c r="R392" s="68" t="s">
        <v>234</v>
      </c>
      <c r="Y392" s="177"/>
      <c r="Z392" s="199">
        <f t="shared" si="544"/>
        <v>0</v>
      </c>
      <c r="AA392" s="237">
        <v>0</v>
      </c>
      <c r="AB392" s="237">
        <v>74.099999999999994</v>
      </c>
      <c r="AC392" s="216" t="s">
        <v>72</v>
      </c>
      <c r="AD392" s="388"/>
      <c r="AE392" s="216"/>
      <c r="AF392" s="237"/>
      <c r="AG392" s="237"/>
      <c r="AH392" s="237"/>
      <c r="AJ392" s="68"/>
    </row>
    <row r="393" spans="1:43">
      <c r="A393" s="11" t="s">
        <v>17</v>
      </c>
      <c r="J393" s="209">
        <f t="shared" ref="J393:O393" si="547">SUM(J394:J398)</f>
        <v>179103.30780000001</v>
      </c>
      <c r="K393" s="209">
        <f t="shared" si="547"/>
        <v>390517.15820000001</v>
      </c>
      <c r="L393" s="209">
        <f t="shared" si="547"/>
        <v>263.31909999999999</v>
      </c>
      <c r="M393" s="209">
        <f t="shared" si="547"/>
        <v>13090.292099999999</v>
      </c>
      <c r="N393" s="209">
        <f t="shared" si="547"/>
        <v>82949.536300000007</v>
      </c>
      <c r="O393" s="209">
        <f t="shared" si="547"/>
        <v>29118.054350000006</v>
      </c>
      <c r="P393" s="212">
        <f t="shared" ref="P393:P398" si="548">SUM(J393:O393)</f>
        <v>695041.66784999997</v>
      </c>
      <c r="Q393" s="202"/>
      <c r="R393" s="209">
        <f t="shared" ref="R393:W393" si="549">SUM(R394:R398)</f>
        <v>17.06432270543268</v>
      </c>
      <c r="S393" s="209">
        <f t="shared" si="549"/>
        <v>22.55162924126796</v>
      </c>
      <c r="T393" s="209">
        <f t="shared" si="549"/>
        <v>4.405626787304813E-2</v>
      </c>
      <c r="U393" s="209">
        <f t="shared" si="549"/>
        <v>0.87587350399392216</v>
      </c>
      <c r="V393" s="209">
        <f t="shared" si="549"/>
        <v>3.2867693462787306</v>
      </c>
      <c r="W393" s="209">
        <f t="shared" si="549"/>
        <v>3.1228996627359704E-2</v>
      </c>
      <c r="X393" s="220">
        <f>SUM(R393:W393)</f>
        <v>43.853880061473703</v>
      </c>
      <c r="Y393" s="177"/>
      <c r="Z393" s="199">
        <f t="shared" si="544"/>
        <v>18158.4906260272</v>
      </c>
      <c r="AA393" s="235">
        <v>236.77682838602072</v>
      </c>
      <c r="AB393" s="214">
        <v>76.690319529169244</v>
      </c>
      <c r="AC393" s="233" t="s">
        <v>73</v>
      </c>
      <c r="AD393" s="388"/>
      <c r="AJ393" s="68"/>
    </row>
    <row r="394" spans="1:43">
      <c r="A394" s="10" t="s">
        <v>18</v>
      </c>
      <c r="J394" s="197">
        <f t="shared" ref="J394:O398" si="550">IFERROR(J375*R375,"")</f>
        <v>0</v>
      </c>
      <c r="K394" s="197">
        <f t="shared" si="550"/>
        <v>2405.9993999999997</v>
      </c>
      <c r="L394" s="197">
        <f t="shared" si="550"/>
        <v>263.31909999999999</v>
      </c>
      <c r="M394" s="197">
        <f t="shared" si="550"/>
        <v>1881.9336000000001</v>
      </c>
      <c r="N394" s="197">
        <f t="shared" si="550"/>
        <v>12170.764000000001</v>
      </c>
      <c r="O394" s="197">
        <f t="shared" si="550"/>
        <v>28500.743700000003</v>
      </c>
      <c r="P394" s="212">
        <f t="shared" si="548"/>
        <v>45222.7598</v>
      </c>
      <c r="Q394" s="202"/>
      <c r="R394" s="211">
        <f t="shared" ref="R394:R399" si="551">J394*J$410/1000000</f>
        <v>0</v>
      </c>
      <c r="S394" s="211">
        <f t="shared" ref="S394:W399" si="552">K394*K$410/1000000</f>
        <v>0.13894192683775697</v>
      </c>
      <c r="T394" s="211">
        <f t="shared" si="552"/>
        <v>4.405626787304813E-2</v>
      </c>
      <c r="U394" s="211">
        <f t="shared" si="552"/>
        <v>0.12592047327315914</v>
      </c>
      <c r="V394" s="211">
        <f t="shared" si="552"/>
        <v>0.48225096631423492</v>
      </c>
      <c r="W394" s="211">
        <f t="shared" si="552"/>
        <v>3.0566933428522271E-2</v>
      </c>
      <c r="X394" s="220">
        <f t="shared" ref="X394:X399" si="553">SUM(R394:W394)</f>
        <v>0.82173656772672132</v>
      </c>
      <c r="Y394" s="177"/>
      <c r="Z394" s="199"/>
      <c r="AA394" s="470" t="s">
        <v>239</v>
      </c>
      <c r="AB394" s="388"/>
      <c r="AC394" s="451"/>
      <c r="AD394" s="388"/>
      <c r="AJ394" s="68"/>
      <c r="AQ394" s="282"/>
    </row>
    <row r="395" spans="1:43">
      <c r="A395" s="10" t="s">
        <v>19</v>
      </c>
      <c r="J395" s="197">
        <f t="shared" si="550"/>
        <v>0</v>
      </c>
      <c r="K395" s="197">
        <f t="shared" si="550"/>
        <v>8885.627199999999</v>
      </c>
      <c r="L395" s="197">
        <f t="shared" si="550"/>
        <v>0</v>
      </c>
      <c r="M395" s="197">
        <f t="shared" si="550"/>
        <v>164.4136</v>
      </c>
      <c r="N395" s="197">
        <f t="shared" si="550"/>
        <v>110.15760000000002</v>
      </c>
      <c r="O395" s="197">
        <f t="shared" si="550"/>
        <v>441.28499999999997</v>
      </c>
      <c r="P395" s="212">
        <f t="shared" si="548"/>
        <v>9601.4833999999992</v>
      </c>
      <c r="Q395" s="202"/>
      <c r="R395" s="211">
        <f t="shared" si="551"/>
        <v>0</v>
      </c>
      <c r="S395" s="211">
        <f t="shared" si="552"/>
        <v>0.51312820956230631</v>
      </c>
      <c r="T395" s="211">
        <f t="shared" si="552"/>
        <v>0</v>
      </c>
      <c r="U395" s="211">
        <f t="shared" si="552"/>
        <v>1.1000939844287747E-2</v>
      </c>
      <c r="V395" s="211">
        <f t="shared" si="552"/>
        <v>4.3648540918924212E-3</v>
      </c>
      <c r="W395" s="211">
        <f t="shared" si="552"/>
        <v>4.73276394468452E-4</v>
      </c>
      <c r="X395" s="220">
        <f t="shared" si="553"/>
        <v>0.528967279892955</v>
      </c>
      <c r="Y395" s="177"/>
      <c r="Z395" s="199">
        <f t="shared" ref="Z395:Z410" si="554">AA395*AB395</f>
        <v>0</v>
      </c>
      <c r="AA395" s="237">
        <v>0</v>
      </c>
      <c r="AB395" s="237">
        <v>63.1</v>
      </c>
      <c r="AC395" s="217" t="s">
        <v>219</v>
      </c>
      <c r="AD395" s="388"/>
      <c r="AE395" s="216"/>
      <c r="AF395" s="237"/>
      <c r="AG395" s="237"/>
      <c r="AH395" s="237"/>
      <c r="AJ395" s="68" t="s">
        <v>289</v>
      </c>
    </row>
    <row r="396" spans="1:43">
      <c r="A396" s="10" t="s">
        <v>20</v>
      </c>
      <c r="J396" s="197">
        <f t="shared" si="550"/>
        <v>179103.30780000001</v>
      </c>
      <c r="K396" s="197">
        <f t="shared" si="550"/>
        <v>2469.6793999999995</v>
      </c>
      <c r="L396" s="197">
        <f t="shared" si="550"/>
        <v>0</v>
      </c>
      <c r="M396" s="197">
        <f t="shared" si="550"/>
        <v>11025.112499999999</v>
      </c>
      <c r="N396" s="197">
        <f t="shared" si="550"/>
        <v>57728.245200000005</v>
      </c>
      <c r="O396" s="197">
        <f t="shared" si="550"/>
        <v>77.890199999999993</v>
      </c>
      <c r="P396" s="212">
        <f t="shared" si="548"/>
        <v>250404.23509999999</v>
      </c>
      <c r="Q396" s="202"/>
      <c r="R396" s="211">
        <f t="shared" si="551"/>
        <v>17.06432270543268</v>
      </c>
      <c r="S396" s="211">
        <f t="shared" si="552"/>
        <v>0.14261932671617272</v>
      </c>
      <c r="T396" s="211">
        <f t="shared" si="552"/>
        <v>0</v>
      </c>
      <c r="U396" s="211">
        <f t="shared" si="552"/>
        <v>0.73769201202944823</v>
      </c>
      <c r="V396" s="211">
        <f t="shared" si="552"/>
        <v>2.287407925363198</v>
      </c>
      <c r="W396" s="211">
        <f t="shared" si="552"/>
        <v>8.3536927428819513E-5</v>
      </c>
      <c r="X396" s="220">
        <f t="shared" si="553"/>
        <v>20.232125506468929</v>
      </c>
      <c r="Y396" s="177"/>
      <c r="Z396" s="199">
        <f t="shared" si="554"/>
        <v>462.470332162349</v>
      </c>
      <c r="AA396" s="237">
        <v>6.040207941297</v>
      </c>
      <c r="AB396" s="237">
        <v>76.565299846787028</v>
      </c>
      <c r="AC396" s="217" t="s">
        <v>222</v>
      </c>
      <c r="AD396" s="388"/>
      <c r="AE396" s="216"/>
      <c r="AF396" s="237"/>
      <c r="AG396" s="237"/>
      <c r="AH396" s="237"/>
    </row>
    <row r="397" spans="1:43">
      <c r="A397" s="10" t="s">
        <v>21</v>
      </c>
      <c r="J397" s="197">
        <f t="shared" si="550"/>
        <v>0</v>
      </c>
      <c r="K397" s="197">
        <f t="shared" si="550"/>
        <v>376755.85220000002</v>
      </c>
      <c r="L397" s="197">
        <f t="shared" si="550"/>
        <v>0</v>
      </c>
      <c r="M397" s="197">
        <f t="shared" si="550"/>
        <v>18.8324</v>
      </c>
      <c r="N397" s="197">
        <f t="shared" si="550"/>
        <v>12940.369499999999</v>
      </c>
      <c r="O397" s="197">
        <f t="shared" si="550"/>
        <v>98.135449999999992</v>
      </c>
      <c r="P397" s="212">
        <f t="shared" si="548"/>
        <v>389813.18955000001</v>
      </c>
      <c r="Q397" s="202"/>
      <c r="R397" s="211">
        <f t="shared" si="551"/>
        <v>0</v>
      </c>
      <c r="S397" s="211">
        <f t="shared" si="552"/>
        <v>21.756939778151725</v>
      </c>
      <c r="T397" s="211">
        <f t="shared" si="552"/>
        <v>0</v>
      </c>
      <c r="U397" s="211">
        <f t="shared" si="552"/>
        <v>1.2600788470270377E-3</v>
      </c>
      <c r="V397" s="211">
        <f t="shared" si="552"/>
        <v>0.51274560050940532</v>
      </c>
      <c r="W397" s="211">
        <f t="shared" si="552"/>
        <v>1.0524987694016123E-4</v>
      </c>
      <c r="X397" s="220">
        <f t="shared" si="553"/>
        <v>22.271050707385101</v>
      </c>
      <c r="Y397" s="177"/>
      <c r="Z397" s="199">
        <f t="shared" si="554"/>
        <v>4813.707257496706</v>
      </c>
      <c r="AA397" s="237">
        <v>94.771300162874496</v>
      </c>
      <c r="AB397" s="237">
        <v>50.792879798249487</v>
      </c>
      <c r="AC397" s="217" t="s">
        <v>223</v>
      </c>
      <c r="AD397" s="388"/>
      <c r="AE397" s="216"/>
      <c r="AF397" s="237"/>
      <c r="AG397" s="237"/>
      <c r="AH397" s="237"/>
      <c r="AJ397" s="11" t="s">
        <v>24</v>
      </c>
      <c r="AK397" s="286">
        <f t="shared" ref="AK397:AK403" si="555">IFERROR(((J381/11.63)+J418)/J425,"")</f>
        <v>0.8716265470997564</v>
      </c>
      <c r="AL397" s="286">
        <f t="shared" ref="AL397:AL403" si="556">IFERROR(((K381/11.63)+K418)/K425,"")</f>
        <v>0.65715776132749315</v>
      </c>
      <c r="AM397" s="286">
        <f t="shared" ref="AM397:AM403" si="557">IFERROR(((L381/11.63)+L418)/L425,"")</f>
        <v>0.5263431614567442</v>
      </c>
      <c r="AN397" s="286">
        <f t="shared" ref="AN397:AN403" si="558">IFERROR(((M381/11.63)+M418)/M425,"")</f>
        <v>0.76721876955955426</v>
      </c>
      <c r="AO397" s="286">
        <f t="shared" ref="AO397:AO403" si="559">IFERROR(((N381/11.63)+N418)/N425,"")</f>
        <v>0.57223150615105289</v>
      </c>
      <c r="AP397" s="286">
        <f t="shared" ref="AP397:AP403" si="560">IFERROR(((O381/11.63)+O418)/O425,"")</f>
        <v>0.58785730065437569</v>
      </c>
      <c r="AQ397" s="286">
        <f t="shared" ref="AQ397:AQ403" si="561">IFERROR(((P381/11.63)+P418)/P425,"")</f>
        <v>0.64025422556058487</v>
      </c>
    </row>
    <row r="398" spans="1:43">
      <c r="A398" s="10" t="s">
        <v>23</v>
      </c>
      <c r="J398" s="197">
        <f t="shared" si="550"/>
        <v>0</v>
      </c>
      <c r="K398" s="197">
        <f t="shared" si="550"/>
        <v>0</v>
      </c>
      <c r="L398" s="197">
        <f t="shared" si="550"/>
        <v>0</v>
      </c>
      <c r="M398" s="197">
        <f t="shared" si="550"/>
        <v>0</v>
      </c>
      <c r="N398" s="197">
        <f t="shared" si="550"/>
        <v>0</v>
      </c>
      <c r="O398" s="197">
        <f t="shared" si="550"/>
        <v>0</v>
      </c>
      <c r="P398" s="212">
        <f t="shared" si="548"/>
        <v>0</v>
      </c>
      <c r="Q398" s="202"/>
      <c r="R398" s="211">
        <f t="shared" si="551"/>
        <v>0</v>
      </c>
      <c r="S398" s="211">
        <f t="shared" si="552"/>
        <v>0</v>
      </c>
      <c r="T398" s="211">
        <f t="shared" si="552"/>
        <v>0</v>
      </c>
      <c r="U398" s="211">
        <f t="shared" si="552"/>
        <v>0</v>
      </c>
      <c r="V398" s="211">
        <f t="shared" si="552"/>
        <v>0</v>
      </c>
      <c r="W398" s="211">
        <f t="shared" si="552"/>
        <v>0</v>
      </c>
      <c r="X398" s="220">
        <f t="shared" si="553"/>
        <v>0</v>
      </c>
      <c r="Y398" s="177"/>
      <c r="Z398" s="199">
        <f t="shared" si="554"/>
        <v>94858.540824196563</v>
      </c>
      <c r="AA398" s="237">
        <v>1063.09862819871</v>
      </c>
      <c r="AB398" s="471">
        <v>89.228354085004042</v>
      </c>
      <c r="AC398" s="217" t="s">
        <v>236</v>
      </c>
      <c r="AD398" s="388"/>
      <c r="AE398" s="216"/>
      <c r="AF398" s="237"/>
      <c r="AG398" s="237"/>
      <c r="AH398" s="237"/>
      <c r="AJ398" s="10" t="s">
        <v>25</v>
      </c>
      <c r="AK398" s="56" t="str">
        <f t="shared" si="555"/>
        <v/>
      </c>
      <c r="AL398" s="56">
        <f t="shared" si="556"/>
        <v>0.7239432786266955</v>
      </c>
      <c r="AM398" s="56">
        <f t="shared" si="557"/>
        <v>0.65126192058156807</v>
      </c>
      <c r="AN398" s="56">
        <f t="shared" si="558"/>
        <v>0.65469342278953169</v>
      </c>
      <c r="AO398" s="56">
        <f t="shared" si="559"/>
        <v>0.63558088115567779</v>
      </c>
      <c r="AP398" s="56">
        <f t="shared" si="560"/>
        <v>0.58779312250144378</v>
      </c>
      <c r="AQ398" s="286">
        <f t="shared" si="561"/>
        <v>0.66863493535284724</v>
      </c>
    </row>
    <row r="399" spans="1:43">
      <c r="A399" s="10" t="s">
        <v>387</v>
      </c>
      <c r="J399" s="197"/>
      <c r="K399" s="197"/>
      <c r="L399" s="197"/>
      <c r="M399" s="197"/>
      <c r="N399" s="197"/>
      <c r="O399" s="197"/>
      <c r="P399" s="212"/>
      <c r="Q399" s="202"/>
      <c r="R399" s="211">
        <f t="shared" si="551"/>
        <v>0</v>
      </c>
      <c r="S399" s="211">
        <f t="shared" si="552"/>
        <v>0</v>
      </c>
      <c r="T399" s="211">
        <f t="shared" si="552"/>
        <v>0</v>
      </c>
      <c r="U399" s="211">
        <f t="shared" si="552"/>
        <v>0</v>
      </c>
      <c r="V399" s="211">
        <f t="shared" si="552"/>
        <v>0</v>
      </c>
      <c r="W399" s="211">
        <f t="shared" si="552"/>
        <v>0</v>
      </c>
      <c r="X399" s="220">
        <f t="shared" si="553"/>
        <v>0</v>
      </c>
      <c r="Y399" s="177"/>
      <c r="Z399" s="199">
        <f t="shared" si="554"/>
        <v>0</v>
      </c>
      <c r="AA399" s="237">
        <v>140.572001787315</v>
      </c>
      <c r="AB399" s="451">
        <v>0</v>
      </c>
      <c r="AC399" s="216" t="s">
        <v>224</v>
      </c>
      <c r="AD399" s="388"/>
      <c r="AJ399" s="10" t="s">
        <v>26</v>
      </c>
      <c r="AK399" s="56" t="str">
        <f t="shared" si="555"/>
        <v/>
      </c>
      <c r="AL399" s="56">
        <f t="shared" si="556"/>
        <v>0.74475185462858717</v>
      </c>
      <c r="AM399" s="56" t="str">
        <f t="shared" si="557"/>
        <v/>
      </c>
      <c r="AN399" s="56">
        <f t="shared" si="558"/>
        <v>0.78564265747211215</v>
      </c>
      <c r="AO399" s="56">
        <f t="shared" si="559"/>
        <v>0.73595042547513867</v>
      </c>
      <c r="AP399" s="56">
        <f t="shared" si="560"/>
        <v>0.68443680137575236</v>
      </c>
      <c r="AQ399" s="286">
        <f t="shared" si="561"/>
        <v>0.74802928000218782</v>
      </c>
    </row>
    <row r="400" spans="1:43">
      <c r="A400" s="11" t="s">
        <v>24</v>
      </c>
      <c r="J400" s="209">
        <f t="shared" ref="J400:O400" si="562">SUM(J401:J405)</f>
        <v>613.17919999999992</v>
      </c>
      <c r="K400" s="209">
        <f t="shared" si="562"/>
        <v>515992.53329999995</v>
      </c>
      <c r="L400" s="209">
        <f t="shared" si="562"/>
        <v>20246.9028</v>
      </c>
      <c r="M400" s="209">
        <f t="shared" si="562"/>
        <v>13889.430919999999</v>
      </c>
      <c r="N400" s="209">
        <f t="shared" si="562"/>
        <v>107283.52829999999</v>
      </c>
      <c r="O400" s="209">
        <f t="shared" si="562"/>
        <v>39900.878700000008</v>
      </c>
      <c r="P400" s="298">
        <f t="shared" ref="P400:P405" si="563">SUM(J400:O400)</f>
        <v>697926.45321999991</v>
      </c>
      <c r="Q400" s="202"/>
      <c r="R400" s="209">
        <f t="shared" ref="R400:W400" si="564">SUM(R401:R405)</f>
        <v>5.8421521487159518E-2</v>
      </c>
      <c r="S400" s="209">
        <f t="shared" si="564"/>
        <v>29.797595465151609</v>
      </c>
      <c r="T400" s="209">
        <f t="shared" si="564"/>
        <v>3.3875361618521715</v>
      </c>
      <c r="U400" s="209">
        <f t="shared" si="564"/>
        <v>0.92934400817396012</v>
      </c>
      <c r="V400" s="209">
        <f t="shared" si="564"/>
        <v>4.2509726745400345</v>
      </c>
      <c r="W400" s="209">
        <f t="shared" si="564"/>
        <v>4.2793532540782164E-2</v>
      </c>
      <c r="X400" s="220">
        <f t="shared" ref="X400:X406" si="565">SUM(R400:W400)</f>
        <v>38.466663363745724</v>
      </c>
      <c r="Y400" s="177"/>
      <c r="Z400" s="199">
        <f t="shared" si="554"/>
        <v>0</v>
      </c>
      <c r="AA400" s="237">
        <v>635.27482792723197</v>
      </c>
      <c r="AB400" s="451">
        <v>0</v>
      </c>
      <c r="AC400" s="216" t="s">
        <v>225</v>
      </c>
      <c r="AD400" s="388"/>
      <c r="AJ400" s="10" t="s">
        <v>27</v>
      </c>
      <c r="AK400" s="56" t="str">
        <f t="shared" si="555"/>
        <v/>
      </c>
      <c r="AL400" s="56">
        <f t="shared" si="556"/>
        <v>0.6333856353423033</v>
      </c>
      <c r="AM400" s="56">
        <f t="shared" si="557"/>
        <v>0.54347524119387314</v>
      </c>
      <c r="AN400" s="56">
        <f t="shared" si="558"/>
        <v>0.73921012665132635</v>
      </c>
      <c r="AO400" s="56">
        <f t="shared" si="559"/>
        <v>0.60439620645804426</v>
      </c>
      <c r="AP400" s="56">
        <f t="shared" si="560"/>
        <v>0.57580506476576143</v>
      </c>
      <c r="AQ400" s="286">
        <f t="shared" si="561"/>
        <v>0.63223061146043902</v>
      </c>
    </row>
    <row r="401" spans="1:43">
      <c r="A401" s="10" t="s">
        <v>25</v>
      </c>
      <c r="J401" s="197">
        <f t="shared" ref="J401:O405" si="566">IFERROR(J382*R382,"")</f>
        <v>0</v>
      </c>
      <c r="K401" s="197">
        <f t="shared" si="566"/>
        <v>59627.437800000007</v>
      </c>
      <c r="L401" s="197">
        <f t="shared" si="566"/>
        <v>1020.3092000000001</v>
      </c>
      <c r="M401" s="197">
        <f t="shared" si="566"/>
        <v>206.51400000000001</v>
      </c>
      <c r="N401" s="197">
        <f t="shared" si="566"/>
        <v>15797.664999999999</v>
      </c>
      <c r="O401" s="211">
        <f t="shared" si="566"/>
        <v>39634.126200000006</v>
      </c>
      <c r="P401" s="212">
        <f t="shared" si="563"/>
        <v>116286.05220000001</v>
      </c>
      <c r="Q401" s="202"/>
      <c r="R401" s="211">
        <f t="shared" ref="R401:R406" si="567">J401*J$410/1000000</f>
        <v>0</v>
      </c>
      <c r="S401" s="211">
        <f t="shared" ref="S401:W406" si="568">K401*K$410/1000000</f>
        <v>3.4433720558411216</v>
      </c>
      <c r="T401" s="211">
        <f t="shared" si="568"/>
        <v>0.17070928553430209</v>
      </c>
      <c r="U401" s="211">
        <f t="shared" si="568"/>
        <v>1.3817884232224339E-2</v>
      </c>
      <c r="V401" s="211">
        <f t="shared" si="568"/>
        <v>0.62596228238084051</v>
      </c>
      <c r="W401" s="211">
        <f t="shared" si="568"/>
        <v>4.2507441553290073E-2</v>
      </c>
      <c r="X401" s="220">
        <f t="shared" si="565"/>
        <v>4.2963689495417787</v>
      </c>
      <c r="Y401" s="177"/>
      <c r="Z401" s="199">
        <f t="shared" si="554"/>
        <v>0</v>
      </c>
      <c r="AA401" s="237">
        <v>0.13038940931165</v>
      </c>
      <c r="AB401" s="451">
        <v>0</v>
      </c>
      <c r="AC401" s="216" t="s">
        <v>148</v>
      </c>
      <c r="AD401" s="388"/>
      <c r="AJ401" s="10" t="s">
        <v>28</v>
      </c>
      <c r="AK401" s="56">
        <f t="shared" si="555"/>
        <v>0.82964519216729671</v>
      </c>
      <c r="AL401" s="56">
        <f t="shared" si="556"/>
        <v>0.85122977388054022</v>
      </c>
      <c r="AM401" s="56" t="str">
        <f t="shared" si="557"/>
        <v/>
      </c>
      <c r="AN401" s="56">
        <f t="shared" si="558"/>
        <v>0.8695663971806572</v>
      </c>
      <c r="AO401" s="56">
        <f t="shared" si="559"/>
        <v>0.76972272402362818</v>
      </c>
      <c r="AP401" s="56" t="str">
        <f t="shared" si="560"/>
        <v/>
      </c>
      <c r="AQ401" s="286">
        <f t="shared" si="561"/>
        <v>0.82403012852423407</v>
      </c>
    </row>
    <row r="402" spans="1:43">
      <c r="A402" s="10" t="s">
        <v>26</v>
      </c>
      <c r="J402" s="197">
        <f t="shared" si="566"/>
        <v>0</v>
      </c>
      <c r="K402" s="197">
        <f t="shared" si="566"/>
        <v>28426.553599999996</v>
      </c>
      <c r="L402" s="197">
        <f t="shared" si="566"/>
        <v>0</v>
      </c>
      <c r="M402" s="197">
        <f t="shared" si="566"/>
        <v>2300.15292</v>
      </c>
      <c r="N402" s="197">
        <f t="shared" si="566"/>
        <v>190.67360000000002</v>
      </c>
      <c r="O402" s="197">
        <f t="shared" si="566"/>
        <v>31.208100000000002</v>
      </c>
      <c r="P402" s="212">
        <f t="shared" si="563"/>
        <v>30948.588219999994</v>
      </c>
      <c r="Q402" s="202"/>
      <c r="R402" s="211">
        <f t="shared" si="567"/>
        <v>0</v>
      </c>
      <c r="S402" s="211">
        <f t="shared" si="568"/>
        <v>1.6415798484990383</v>
      </c>
      <c r="T402" s="211">
        <f t="shared" si="568"/>
        <v>0</v>
      </c>
      <c r="U402" s="211">
        <f t="shared" si="568"/>
        <v>0.15390359377559279</v>
      </c>
      <c r="V402" s="211">
        <f t="shared" si="568"/>
        <v>7.5551976729327681E-3</v>
      </c>
      <c r="W402" s="211">
        <f t="shared" si="568"/>
        <v>3.3470562213106944E-5</v>
      </c>
      <c r="X402" s="220">
        <f t="shared" si="565"/>
        <v>1.8030721105097769</v>
      </c>
      <c r="Y402" s="177"/>
      <c r="Z402" s="199">
        <f t="shared" si="554"/>
        <v>0</v>
      </c>
      <c r="AA402" s="237">
        <v>2.1957245053413899</v>
      </c>
      <c r="AB402" s="237">
        <v>0</v>
      </c>
      <c r="AC402" s="216" t="s">
        <v>142</v>
      </c>
      <c r="AD402" s="388"/>
      <c r="AJ402" s="10" t="s">
        <v>29</v>
      </c>
      <c r="AK402" s="56">
        <f t="shared" si="555"/>
        <v>0.87970281501779757</v>
      </c>
      <c r="AL402" s="56">
        <f t="shared" si="556"/>
        <v>0.53831680851623709</v>
      </c>
      <c r="AM402" s="56">
        <f t="shared" si="557"/>
        <v>0.47056177731950743</v>
      </c>
      <c r="AN402" s="56">
        <f t="shared" si="558"/>
        <v>0.78412343158688813</v>
      </c>
      <c r="AO402" s="56">
        <f t="shared" si="559"/>
        <v>0.5035532782290526</v>
      </c>
      <c r="AP402" s="56">
        <f t="shared" si="560"/>
        <v>0.61641349001624146</v>
      </c>
      <c r="AQ402" s="286">
        <f t="shared" si="561"/>
        <v>0.52481581183121828</v>
      </c>
    </row>
    <row r="403" spans="1:43">
      <c r="A403" s="10" t="s">
        <v>27</v>
      </c>
      <c r="J403" s="197">
        <f t="shared" si="566"/>
        <v>0</v>
      </c>
      <c r="K403" s="197">
        <f t="shared" si="566"/>
        <v>417478.24</v>
      </c>
      <c r="L403" s="197">
        <f t="shared" si="566"/>
        <v>12295.09</v>
      </c>
      <c r="M403" s="197">
        <f t="shared" si="566"/>
        <v>9351.1543999999994</v>
      </c>
      <c r="N403" s="197">
        <f t="shared" si="566"/>
        <v>39914.560399999995</v>
      </c>
      <c r="O403" s="197">
        <f t="shared" si="566"/>
        <v>199.02959999999999</v>
      </c>
      <c r="P403" s="212">
        <f t="shared" si="563"/>
        <v>479238.07440000004</v>
      </c>
      <c r="Q403" s="202"/>
      <c r="R403" s="211">
        <f t="shared" si="567"/>
        <v>0</v>
      </c>
      <c r="S403" s="211">
        <f t="shared" si="568"/>
        <v>24.10858085768249</v>
      </c>
      <c r="T403" s="211">
        <f t="shared" si="568"/>
        <v>2.0571078154347151</v>
      </c>
      <c r="U403" s="211">
        <f t="shared" si="568"/>
        <v>0.62568721218346091</v>
      </c>
      <c r="V403" s="211">
        <f t="shared" si="568"/>
        <v>1.5815634353692087</v>
      </c>
      <c r="W403" s="211">
        <f t="shared" si="568"/>
        <v>2.1345844857744589E-4</v>
      </c>
      <c r="X403" s="220">
        <f t="shared" si="565"/>
        <v>28.373152779118453</v>
      </c>
      <c r="Y403" s="177"/>
      <c r="Z403" s="199">
        <f t="shared" si="554"/>
        <v>0</v>
      </c>
      <c r="AA403" s="456"/>
      <c r="AB403" s="388"/>
      <c r="AC403" s="216" t="s">
        <v>145</v>
      </c>
      <c r="AD403" s="388"/>
      <c r="AJ403" s="10" t="s">
        <v>389</v>
      </c>
      <c r="AK403" s="56" t="str">
        <f t="shared" si="555"/>
        <v/>
      </c>
      <c r="AL403" s="56">
        <f t="shared" si="556"/>
        <v>0.34393809114359414</v>
      </c>
      <c r="AM403" s="56" t="str">
        <f t="shared" si="557"/>
        <v/>
      </c>
      <c r="AN403" s="56" t="str">
        <f t="shared" si="558"/>
        <v/>
      </c>
      <c r="AO403" s="56" t="str">
        <f t="shared" si="559"/>
        <v/>
      </c>
      <c r="AP403" s="56">
        <f t="shared" si="560"/>
        <v>0.34393809114359414</v>
      </c>
      <c r="AQ403" s="286">
        <f t="shared" si="561"/>
        <v>0.34393809114359414</v>
      </c>
    </row>
    <row r="404" spans="1:43">
      <c r="A404" s="10" t="s">
        <v>28</v>
      </c>
      <c r="J404" s="197">
        <f t="shared" si="566"/>
        <v>52.249600000000001</v>
      </c>
      <c r="K404" s="197">
        <f t="shared" si="566"/>
        <v>3188.9308000000001</v>
      </c>
      <c r="L404" s="197">
        <f t="shared" si="566"/>
        <v>0</v>
      </c>
      <c r="M404" s="197">
        <f t="shared" si="566"/>
        <v>859.67039999999997</v>
      </c>
      <c r="N404" s="197">
        <f t="shared" si="566"/>
        <v>3817.471</v>
      </c>
      <c r="O404" s="197">
        <f t="shared" si="566"/>
        <v>0</v>
      </c>
      <c r="P404" s="212">
        <f t="shared" si="563"/>
        <v>7918.3217999999997</v>
      </c>
      <c r="Q404" s="202"/>
      <c r="R404" s="211">
        <f t="shared" si="567"/>
        <v>4.9781550468370262E-3</v>
      </c>
      <c r="S404" s="211">
        <f t="shared" si="568"/>
        <v>0.18415473831966453</v>
      </c>
      <c r="T404" s="211">
        <f t="shared" si="568"/>
        <v>0</v>
      </c>
      <c r="U404" s="211">
        <f t="shared" si="568"/>
        <v>5.7520681721675002E-2</v>
      </c>
      <c r="V404" s="211">
        <f t="shared" si="568"/>
        <v>0.15126240872196425</v>
      </c>
      <c r="W404" s="211">
        <f t="shared" si="568"/>
        <v>0</v>
      </c>
      <c r="X404" s="220">
        <f t="shared" si="565"/>
        <v>0.39791598381014082</v>
      </c>
      <c r="Y404" s="177"/>
      <c r="Z404" s="199">
        <f t="shared" si="554"/>
        <v>0</v>
      </c>
      <c r="AA404" s="237">
        <v>12.822034073781699</v>
      </c>
      <c r="AB404" s="237">
        <v>0</v>
      </c>
      <c r="AC404" s="216" t="s">
        <v>143</v>
      </c>
      <c r="AD404" s="388"/>
      <c r="AE404" s="216"/>
      <c r="AF404" s="215"/>
      <c r="AG404" s="237"/>
      <c r="AH404" s="237"/>
      <c r="AJ404" s="308" t="s">
        <v>290</v>
      </c>
      <c r="AK404" s="307">
        <f t="shared" ref="AK404:AQ404" si="569">IFERROR(((J388/11.63)+J418)/(J425+J393/41.868),"")</f>
        <v>0.38339895535801788</v>
      </c>
      <c r="AL404" s="307">
        <f t="shared" si="569"/>
        <v>0.61094816436827581</v>
      </c>
      <c r="AM404" s="307">
        <f t="shared" si="569"/>
        <v>0.52505470917505914</v>
      </c>
      <c r="AN404" s="307">
        <f t="shared" si="569"/>
        <v>0.64665903959440574</v>
      </c>
      <c r="AO404" s="307">
        <f t="shared" si="569"/>
        <v>0.48308024669884042</v>
      </c>
      <c r="AP404" s="307">
        <f t="shared" si="569"/>
        <v>0.50809992080802613</v>
      </c>
      <c r="AQ404" s="307">
        <f t="shared" si="569"/>
        <v>0.56154418392351613</v>
      </c>
    </row>
    <row r="405" spans="1:43">
      <c r="A405" s="10" t="s">
        <v>29</v>
      </c>
      <c r="J405" s="197">
        <f t="shared" si="566"/>
        <v>560.92959999999994</v>
      </c>
      <c r="K405" s="197">
        <f t="shared" si="566"/>
        <v>7271.3711000000003</v>
      </c>
      <c r="L405" s="197">
        <f t="shared" si="566"/>
        <v>6931.5036000000009</v>
      </c>
      <c r="M405" s="197">
        <f t="shared" si="566"/>
        <v>1171.9392</v>
      </c>
      <c r="N405" s="197">
        <f t="shared" si="566"/>
        <v>47563.158300000003</v>
      </c>
      <c r="O405" s="197">
        <f t="shared" si="566"/>
        <v>36.514800000000001</v>
      </c>
      <c r="P405" s="212">
        <f t="shared" si="563"/>
        <v>63535.416600000004</v>
      </c>
      <c r="Q405" s="202"/>
      <c r="R405" s="211">
        <f t="shared" si="567"/>
        <v>5.3443366440322493E-2</v>
      </c>
      <c r="S405" s="211">
        <f t="shared" si="568"/>
        <v>0.41990796480929321</v>
      </c>
      <c r="T405" s="211">
        <f t="shared" si="568"/>
        <v>1.1597190608831547</v>
      </c>
      <c r="U405" s="211">
        <f t="shared" si="568"/>
        <v>7.8414636261007031E-2</v>
      </c>
      <c r="V405" s="211">
        <f t="shared" si="568"/>
        <v>1.8846293503950882</v>
      </c>
      <c r="W405" s="211">
        <f t="shared" si="568"/>
        <v>3.9161976701534455E-5</v>
      </c>
      <c r="X405" s="220">
        <f t="shared" si="565"/>
        <v>3.5961535407655667</v>
      </c>
      <c r="Y405" s="177"/>
      <c r="Z405" s="199">
        <f t="shared" si="554"/>
        <v>0</v>
      </c>
      <c r="AA405" s="237">
        <v>1186.79385640904</v>
      </c>
      <c r="AB405" s="237">
        <v>0</v>
      </c>
      <c r="AC405" s="216" t="s">
        <v>231</v>
      </c>
      <c r="AD405" s="388"/>
      <c r="AE405" s="216"/>
      <c r="AF405" s="215"/>
      <c r="AG405" s="237"/>
      <c r="AH405" s="237"/>
    </row>
    <row r="406" spans="1:43">
      <c r="A406" s="10" t="s">
        <v>389</v>
      </c>
      <c r="J406" s="197"/>
      <c r="K406" s="197"/>
      <c r="L406" s="197"/>
      <c r="M406" s="197"/>
      <c r="N406" s="197"/>
      <c r="O406" s="197"/>
      <c r="P406" s="212"/>
      <c r="Q406" s="202"/>
      <c r="R406" s="211">
        <f t="shared" si="567"/>
        <v>0</v>
      </c>
      <c r="S406" s="211">
        <f t="shared" si="568"/>
        <v>0</v>
      </c>
      <c r="T406" s="211">
        <f t="shared" si="568"/>
        <v>0</v>
      </c>
      <c r="U406" s="211">
        <f t="shared" si="568"/>
        <v>0</v>
      </c>
      <c r="V406" s="211">
        <f t="shared" si="568"/>
        <v>0</v>
      </c>
      <c r="W406" s="211">
        <f t="shared" si="568"/>
        <v>0</v>
      </c>
      <c r="X406" s="220">
        <f t="shared" si="565"/>
        <v>0</v>
      </c>
      <c r="Y406" s="177"/>
      <c r="Z406" s="199">
        <f t="shared" si="554"/>
        <v>9673.5158950721743</v>
      </c>
      <c r="AA406" s="237">
        <v>198.006515159402</v>
      </c>
      <c r="AB406" s="237">
        <v>48.854533333333322</v>
      </c>
      <c r="AC406" s="219" t="s">
        <v>144</v>
      </c>
      <c r="AD406" s="388"/>
      <c r="AE406" s="219"/>
      <c r="AF406" s="215"/>
      <c r="AG406" s="237"/>
      <c r="AH406" s="237"/>
    </row>
    <row r="407" spans="1:43">
      <c r="A407" s="11" t="s">
        <v>10</v>
      </c>
      <c r="J407" s="212">
        <f t="shared" ref="J407:P407" si="570">J393+J400</f>
        <v>179716.48700000002</v>
      </c>
      <c r="K407" s="212">
        <f t="shared" si="570"/>
        <v>906509.69149999996</v>
      </c>
      <c r="L407" s="212">
        <f t="shared" si="570"/>
        <v>20510.2219</v>
      </c>
      <c r="M407" s="212">
        <f t="shared" si="570"/>
        <v>26979.723019999998</v>
      </c>
      <c r="N407" s="212">
        <f t="shared" si="570"/>
        <v>190233.06459999998</v>
      </c>
      <c r="O407" s="212">
        <f t="shared" si="570"/>
        <v>69018.933050000021</v>
      </c>
      <c r="P407" s="212">
        <f t="shared" si="570"/>
        <v>1392968.1210699999</v>
      </c>
      <c r="Q407" s="202"/>
      <c r="R407" s="314">
        <f t="shared" ref="R407:X407" si="571">R393+R400</f>
        <v>17.122744226919838</v>
      </c>
      <c r="S407" s="229">
        <f t="shared" si="571"/>
        <v>52.349224706419569</v>
      </c>
      <c r="T407" s="229">
        <f t="shared" si="571"/>
        <v>3.4315924297252196</v>
      </c>
      <c r="U407" s="229">
        <f t="shared" si="571"/>
        <v>1.8052175121678822</v>
      </c>
      <c r="V407" s="229">
        <f t="shared" si="571"/>
        <v>7.5377420208187651</v>
      </c>
      <c r="W407" s="229">
        <f t="shared" si="571"/>
        <v>7.4022529168141865E-2</v>
      </c>
      <c r="X407" s="229">
        <f t="shared" si="571"/>
        <v>82.320543425219427</v>
      </c>
      <c r="Y407" s="177"/>
      <c r="Z407" s="199">
        <f t="shared" si="554"/>
        <v>0</v>
      </c>
      <c r="AA407" s="237">
        <v>10.9545124173478</v>
      </c>
      <c r="AB407" s="237">
        <v>0</v>
      </c>
      <c r="AC407" s="216" t="s">
        <v>146</v>
      </c>
      <c r="AD407" s="388"/>
      <c r="AE407" s="216"/>
      <c r="AF407" s="215"/>
      <c r="AG407" s="237"/>
      <c r="AH407" s="237"/>
    </row>
    <row r="408" spans="1:43">
      <c r="E408" s="68" t="s">
        <v>200</v>
      </c>
      <c r="F408" s="68"/>
      <c r="G408" s="68"/>
      <c r="H408" s="68"/>
      <c r="I408" s="68"/>
      <c r="J408" s="367">
        <f>J407/41.868</f>
        <v>4292.4545476258718</v>
      </c>
      <c r="K408" s="367">
        <f t="shared" ref="K408:P408" si="572">K407/41.868</f>
        <v>21651.61200678322</v>
      </c>
      <c r="L408" s="367">
        <f t="shared" si="572"/>
        <v>489.87823397344033</v>
      </c>
      <c r="M408" s="367">
        <f t="shared" si="572"/>
        <v>644.39961354733919</v>
      </c>
      <c r="N408" s="367">
        <f t="shared" si="572"/>
        <v>4543.6386882583347</v>
      </c>
      <c r="O408" s="367">
        <f t="shared" si="572"/>
        <v>1648.4888948600367</v>
      </c>
      <c r="P408" s="367">
        <f t="shared" si="572"/>
        <v>33270.471985048243</v>
      </c>
      <c r="R408" s="227">
        <v>17.122744226919842</v>
      </c>
      <c r="S408" s="227">
        <v>52.34922470641952</v>
      </c>
      <c r="T408" s="227">
        <v>3.4136235939650827</v>
      </c>
      <c r="U408" s="227">
        <v>1.8052175121678822</v>
      </c>
      <c r="V408" s="227">
        <v>7.5377423207535212</v>
      </c>
      <c r="W408" s="227">
        <v>7.4022529168141796E-2</v>
      </c>
      <c r="X408" s="227">
        <v>82.320543725154124</v>
      </c>
      <c r="Y408" s="177"/>
      <c r="Z408" s="199">
        <f t="shared" si="554"/>
        <v>3448.5618747878443</v>
      </c>
      <c r="AA408" s="237">
        <v>24.115817306208701</v>
      </c>
      <c r="AB408" s="237">
        <v>143</v>
      </c>
      <c r="AC408" s="216" t="s">
        <v>147</v>
      </c>
      <c r="AD408" s="388"/>
      <c r="AE408" s="216"/>
      <c r="AF408" s="215"/>
      <c r="AG408" s="237"/>
      <c r="AH408" s="237"/>
    </row>
    <row r="409" spans="1:43">
      <c r="J409" s="367">
        <f>(J393)/41.868+J425</f>
        <v>4343.5090140441389</v>
      </c>
      <c r="K409" s="367">
        <f t="shared" ref="K409:P409" si="573">(K393)/41.868+K425</f>
        <v>25363.692079870067</v>
      </c>
      <c r="L409" s="367">
        <f t="shared" si="573"/>
        <v>613.88926865386452</v>
      </c>
      <c r="M409" s="367">
        <f t="shared" si="573"/>
        <v>1116.8562553740326</v>
      </c>
      <c r="N409" s="367">
        <f t="shared" si="573"/>
        <v>5701.4156372408524</v>
      </c>
      <c r="O409" s="367">
        <f t="shared" si="573"/>
        <v>1957.1227799273911</v>
      </c>
      <c r="P409" s="367">
        <f t="shared" si="573"/>
        <v>39096.485035110345</v>
      </c>
      <c r="T409" s="228">
        <v>1.7968835760136699E-2</v>
      </c>
      <c r="U409" s="228"/>
      <c r="Y409" s="177"/>
      <c r="Z409" s="199">
        <f t="shared" si="554"/>
        <v>0</v>
      </c>
      <c r="AA409" s="237"/>
      <c r="AB409" s="237">
        <v>45.85</v>
      </c>
      <c r="AC409" s="216" t="s">
        <v>232</v>
      </c>
      <c r="AD409" s="388"/>
      <c r="AE409" s="216"/>
      <c r="AF409" s="215"/>
      <c r="AG409" s="237"/>
      <c r="AH409" s="237"/>
    </row>
    <row r="410" spans="1:43">
      <c r="A410" s="213" t="s">
        <v>217</v>
      </c>
      <c r="J410" s="198">
        <f>95+J411</f>
        <v>95.27642406519908</v>
      </c>
      <c r="K410" s="215">
        <f>56+K411</f>
        <v>57.748113668589021</v>
      </c>
      <c r="L410" s="177">
        <f>177+L411</f>
        <v>167.3113263452903</v>
      </c>
      <c r="M410" s="198">
        <f>68+M411</f>
        <v>66.910157336666472</v>
      </c>
      <c r="N410" s="198">
        <f>36+N411</f>
        <v>39.623721757667383</v>
      </c>
      <c r="O410" s="198">
        <f>1+O411</f>
        <v>1.0724959934474365</v>
      </c>
      <c r="P410" s="363">
        <f>P400/41.868</f>
        <v>16669.686949937895</v>
      </c>
      <c r="Q410" s="177">
        <f>P410-'5-x'!Y82</f>
        <v>-1.2160695587226655E-3</v>
      </c>
      <c r="Y410" s="177"/>
      <c r="Z410" s="199">
        <f t="shared" si="554"/>
        <v>55432.377160488453</v>
      </c>
      <c r="AA410" s="237">
        <v>1208.99404930182</v>
      </c>
      <c r="AB410" s="237">
        <v>45.85</v>
      </c>
      <c r="AC410" s="216" t="s">
        <v>233</v>
      </c>
      <c r="AD410" s="388"/>
      <c r="AE410" s="216"/>
      <c r="AF410" s="215"/>
      <c r="AG410" s="237"/>
      <c r="AH410" s="237"/>
    </row>
    <row r="411" spans="1:43">
      <c r="A411" s="504" t="s">
        <v>415</v>
      </c>
      <c r="B411" s="503"/>
      <c r="C411" s="503"/>
      <c r="D411" s="503"/>
      <c r="E411" s="503"/>
      <c r="F411" s="503"/>
      <c r="G411" s="503"/>
      <c r="H411" s="503"/>
      <c r="I411" s="503"/>
      <c r="J411" s="532">
        <v>0.27642406519908552</v>
      </c>
      <c r="K411" s="532">
        <v>1.7481136685890213</v>
      </c>
      <c r="L411" s="532">
        <v>-9.6886736547096994</v>
      </c>
      <c r="M411" s="532">
        <v>-1.0898426633335272</v>
      </c>
      <c r="N411" s="532">
        <v>3.6237217576673801</v>
      </c>
      <c r="O411" s="532">
        <v>7.2495993447436513E-2</v>
      </c>
      <c r="P411" s="364">
        <f>P393/41.868</f>
        <v>16600.785035110344</v>
      </c>
      <c r="Q411" s="177">
        <f>P411-'5-x'!Y83</f>
        <v>-1.6941817739279941E-4</v>
      </c>
      <c r="R411" s="506">
        <f>R407-R408</f>
        <v>0</v>
      </c>
      <c r="S411" s="506">
        <f>S407-S408</f>
        <v>0</v>
      </c>
      <c r="T411" s="506">
        <f>T407-SUM(T408:T409)</f>
        <v>0</v>
      </c>
      <c r="U411" s="506">
        <f>U407-U408</f>
        <v>0</v>
      </c>
      <c r="V411" s="506">
        <f>V407-V408</f>
        <v>-2.9993475614276122E-7</v>
      </c>
      <c r="W411" s="506">
        <f>W407-W408</f>
        <v>0</v>
      </c>
      <c r="X411" s="202">
        <f>X407-X408</f>
        <v>-2.9993469752298552E-7</v>
      </c>
      <c r="Y411" s="177"/>
      <c r="AA411" s="470" t="s">
        <v>240</v>
      </c>
      <c r="AB411" s="388"/>
      <c r="AC411" s="451"/>
      <c r="AD411" s="388"/>
    </row>
    <row r="412" spans="1:43">
      <c r="K412" s="56"/>
      <c r="L412" s="198"/>
      <c r="N412" s="198"/>
      <c r="P412" s="365">
        <f>P425-P410</f>
        <v>5826.0130500621053</v>
      </c>
      <c r="Q412" s="177">
        <f>P412-'5-x'!Y84</f>
        <v>1.2160695587226655E-3</v>
      </c>
      <c r="Y412" s="177"/>
      <c r="Z412" s="199">
        <f>AA412*AB412</f>
        <v>1787.01468046592</v>
      </c>
      <c r="AA412" s="237">
        <v>20.047243317394699</v>
      </c>
      <c r="AB412" s="214">
        <v>89.140170155731766</v>
      </c>
      <c r="AC412" s="217" t="s">
        <v>221</v>
      </c>
      <c r="AD412" s="388"/>
    </row>
    <row r="413" spans="1:43">
      <c r="J413" s="198">
        <f t="shared" ref="J413:O413" si="574">J400/41.868</f>
        <v>14.645533581733064</v>
      </c>
      <c r="K413" s="198">
        <f t="shared" si="574"/>
        <v>12324.269926913154</v>
      </c>
      <c r="L413" s="198">
        <f t="shared" si="574"/>
        <v>483.58896531957578</v>
      </c>
      <c r="M413" s="198">
        <f t="shared" si="574"/>
        <v>331.74335817330655</v>
      </c>
      <c r="N413" s="198">
        <f t="shared" si="574"/>
        <v>2562.423051017483</v>
      </c>
      <c r="O413" s="198">
        <f t="shared" si="574"/>
        <v>953.01611493264556</v>
      </c>
      <c r="P413" s="366">
        <f>SUM(P410:P412)</f>
        <v>39096.485035110338</v>
      </c>
      <c r="Q413" s="366"/>
      <c r="Y413" s="177"/>
      <c r="Z413" s="199">
        <f>AA413*AB413</f>
        <v>0</v>
      </c>
      <c r="AA413" s="237">
        <v>1023.1642011512999</v>
      </c>
      <c r="AB413" s="237">
        <v>0</v>
      </c>
      <c r="AC413" s="216" t="s">
        <v>226</v>
      </c>
      <c r="AD413" s="388"/>
    </row>
    <row r="414" spans="1:43">
      <c r="J414" s="198">
        <f t="shared" ref="J414:O414" si="575">J425-(J418/J415)</f>
        <v>14.645533581733062</v>
      </c>
      <c r="K414" s="198">
        <f t="shared" si="575"/>
        <v>12324.269926913154</v>
      </c>
      <c r="L414" s="198">
        <f t="shared" si="575"/>
        <v>483.58896531957578</v>
      </c>
      <c r="M414" s="198">
        <f t="shared" si="575"/>
        <v>331.74335817330655</v>
      </c>
      <c r="N414" s="198">
        <f t="shared" si="575"/>
        <v>2562.423051017483</v>
      </c>
      <c r="O414" s="198">
        <f t="shared" si="575"/>
        <v>953.01611493264556</v>
      </c>
      <c r="P414" s="198"/>
      <c r="Y414" s="177"/>
      <c r="Z414" s="199"/>
      <c r="AA414" s="237"/>
      <c r="AB414" s="237">
        <v>0</v>
      </c>
      <c r="AC414" s="216" t="s">
        <v>227</v>
      </c>
      <c r="AD414" s="388"/>
    </row>
    <row r="415" spans="1:43">
      <c r="A415" s="271" t="s">
        <v>413</v>
      </c>
      <c r="J415" s="558">
        <f>J418/(J425-J400/41.868)</f>
        <v>0.88924639086534818</v>
      </c>
      <c r="K415" s="558">
        <f t="shared" ref="K415:P415" si="576">K418/(K425-K400/41.868)</f>
        <v>0.89249152355838512</v>
      </c>
      <c r="L415" s="558">
        <f t="shared" si="576"/>
        <v>0.89911353685044948</v>
      </c>
      <c r="M415" s="558">
        <f t="shared" si="576"/>
        <v>0.90018842439304414</v>
      </c>
      <c r="N415" s="558">
        <f t="shared" si="576"/>
        <v>0.87253421385508578</v>
      </c>
      <c r="O415" s="558">
        <f t="shared" si="576"/>
        <v>0.890375338858302</v>
      </c>
      <c r="P415" s="558">
        <f t="shared" si="576"/>
        <v>0.88915008522762917</v>
      </c>
      <c r="Y415" s="177"/>
      <c r="Z415" s="199">
        <f>AA415*AB415</f>
        <v>0</v>
      </c>
      <c r="AA415" s="237">
        <v>230.80747822259599</v>
      </c>
      <c r="AB415" s="237">
        <v>0</v>
      </c>
      <c r="AC415" s="216" t="s">
        <v>150</v>
      </c>
      <c r="AD415" s="388"/>
    </row>
    <row r="416" spans="1:43">
      <c r="A416" s="68" t="s">
        <v>276</v>
      </c>
      <c r="J416" s="198"/>
      <c r="K416" s="198"/>
      <c r="P416" s="198"/>
      <c r="R416" s="221" t="s">
        <v>439</v>
      </c>
      <c r="S416" s="195"/>
      <c r="T416" s="195"/>
      <c r="U416" s="195"/>
      <c r="V416" s="195"/>
      <c r="W416" s="195"/>
      <c r="X416" s="195"/>
      <c r="Y416" s="177"/>
      <c r="Z416" s="199">
        <f>AA416*AB416</f>
        <v>0</v>
      </c>
      <c r="AA416" s="237">
        <v>22.646333322059601</v>
      </c>
      <c r="AB416" s="237">
        <v>0</v>
      </c>
      <c r="AC416" s="216" t="s">
        <v>151</v>
      </c>
      <c r="AD416" s="388"/>
    </row>
    <row r="417" spans="1:34">
      <c r="A417" s="68" t="str">
        <f>$A$372</f>
        <v>Dati 2019 lorda</v>
      </c>
      <c r="J417" s="210" t="s">
        <v>5</v>
      </c>
      <c r="K417" s="210" t="s">
        <v>210</v>
      </c>
      <c r="L417" s="210" t="s">
        <v>211</v>
      </c>
      <c r="M417" s="210" t="s">
        <v>214</v>
      </c>
      <c r="N417" s="210" t="s">
        <v>216</v>
      </c>
      <c r="O417" s="210" t="s">
        <v>215</v>
      </c>
      <c r="P417" s="210" t="s">
        <v>213</v>
      </c>
      <c r="R417" s="221" t="s">
        <v>5</v>
      </c>
      <c r="S417" s="221" t="s">
        <v>210</v>
      </c>
      <c r="T417" s="221" t="s">
        <v>211</v>
      </c>
      <c r="U417" s="221" t="s">
        <v>214</v>
      </c>
      <c r="V417" s="221" t="s">
        <v>216</v>
      </c>
      <c r="W417" s="221" t="s">
        <v>215</v>
      </c>
      <c r="X417" s="221" t="s">
        <v>213</v>
      </c>
      <c r="Y417" s="177"/>
      <c r="Z417" s="199">
        <f>AA417*AB417</f>
        <v>0</v>
      </c>
      <c r="AA417" s="237">
        <v>5.2445582966387096</v>
      </c>
      <c r="AB417" s="237">
        <v>0</v>
      </c>
      <c r="AC417" s="218" t="s">
        <v>153</v>
      </c>
      <c r="AD417" s="388"/>
    </row>
    <row r="418" spans="1:34">
      <c r="A418" s="223" t="s">
        <v>275</v>
      </c>
      <c r="J418" s="209">
        <f t="shared" ref="J418:O418" si="577">SUM(J419:J424)</f>
        <v>45.4</v>
      </c>
      <c r="K418" s="209">
        <f t="shared" si="577"/>
        <v>3313</v>
      </c>
      <c r="L418" s="209">
        <f t="shared" si="577"/>
        <v>111.5</v>
      </c>
      <c r="M418" s="209">
        <f t="shared" si="577"/>
        <v>425.3</v>
      </c>
      <c r="N418" s="209">
        <f t="shared" si="577"/>
        <v>1010.2</v>
      </c>
      <c r="O418" s="209">
        <f t="shared" si="577"/>
        <v>274.8</v>
      </c>
      <c r="P418" s="298">
        <f t="shared" ref="P418:P423" si="578">SUM(J418:O418)</f>
        <v>5180.2000000000007</v>
      </c>
      <c r="Q418" s="223" t="s">
        <v>17</v>
      </c>
      <c r="R418" s="316">
        <f t="shared" ref="R418:R431" si="579">IFERROR(R393/J374*1000000,0)</f>
        <v>912.46231327241162</v>
      </c>
      <c r="S418" s="316">
        <f t="shared" ref="S418:S431" si="580">IFERROR(S393/K374*1000000,0)</f>
        <v>391.14377859683987</v>
      </c>
      <c r="T418" s="316">
        <f t="shared" ref="T418:T431" si="581">IFERROR(T393/L374*1000000,0)</f>
        <v>1503.626889865124</v>
      </c>
      <c r="U418" s="316">
        <f t="shared" ref="U418:U431" si="582">IFERROR(U393/M374*1000000,0)</f>
        <v>715.6998725232246</v>
      </c>
      <c r="V418" s="316">
        <f t="shared" ref="V418:V431" si="583">IFERROR(V393/N374*1000000,0)</f>
        <v>451.87034745435335</v>
      </c>
      <c r="W418" s="316">
        <f t="shared" ref="W418:W431" si="584">IFERROR(W393/O374*1000000,0)</f>
        <v>10.624239771709188</v>
      </c>
      <c r="X418" s="316">
        <f t="shared" ref="X418:X431" si="585">IFERROR(X393/P374*1000000,0)</f>
        <v>499.3427143174759</v>
      </c>
      <c r="Y418" s="177"/>
      <c r="Z418" s="199">
        <f>AA418*AB418</f>
        <v>0</v>
      </c>
      <c r="AA418" s="237">
        <v>87.266962067966304</v>
      </c>
      <c r="AB418" s="237">
        <v>0</v>
      </c>
      <c r="AC418" s="216" t="s">
        <v>228</v>
      </c>
      <c r="AD418" s="388"/>
    </row>
    <row r="419" spans="1:34">
      <c r="A419" s="216" t="s">
        <v>25</v>
      </c>
      <c r="K419">
        <v>698.5</v>
      </c>
      <c r="L419">
        <v>9.6999999999999993</v>
      </c>
      <c r="M419" s="177">
        <v>2</v>
      </c>
      <c r="N419" s="177">
        <v>200.9</v>
      </c>
      <c r="O419" s="177">
        <v>272.3</v>
      </c>
      <c r="P419" s="298">
        <f t="shared" si="578"/>
        <v>1183.4000000000001</v>
      </c>
      <c r="Q419" s="216" t="s">
        <v>18</v>
      </c>
      <c r="R419" s="317">
        <f t="shared" si="579"/>
        <v>0</v>
      </c>
      <c r="S419" s="317">
        <f t="shared" si="580"/>
        <v>584.52640655345806</v>
      </c>
      <c r="T419" s="317">
        <f t="shared" si="581"/>
        <v>1503.626889865124</v>
      </c>
      <c r="U419" s="317">
        <f t="shared" si="582"/>
        <v>634.04065092225142</v>
      </c>
      <c r="V419" s="317">
        <f t="shared" si="583"/>
        <v>343.14143042139949</v>
      </c>
      <c r="W419" s="317">
        <f t="shared" si="584"/>
        <v>10.610202863175491</v>
      </c>
      <c r="X419" s="316">
        <f t="shared" si="585"/>
        <v>172.92800095261293</v>
      </c>
      <c r="Y419" s="177"/>
      <c r="Z419" s="199">
        <f>AA419*AB419</f>
        <v>0</v>
      </c>
      <c r="AA419" s="237">
        <v>11.270355073468</v>
      </c>
      <c r="AB419" s="237">
        <v>0</v>
      </c>
      <c r="AC419" s="216" t="s">
        <v>152</v>
      </c>
      <c r="AD419" s="388"/>
    </row>
    <row r="420" spans="1:34">
      <c r="A420" s="216" t="s">
        <v>26</v>
      </c>
      <c r="K420">
        <v>556.1</v>
      </c>
      <c r="M420">
        <v>58.8</v>
      </c>
      <c r="N420">
        <v>8.9</v>
      </c>
      <c r="O420">
        <v>0.4</v>
      </c>
      <c r="P420" s="298">
        <f t="shared" si="578"/>
        <v>624.19999999999993</v>
      </c>
      <c r="Q420" s="216" t="s">
        <v>19</v>
      </c>
      <c r="R420" s="317">
        <f t="shared" si="579"/>
        <v>0</v>
      </c>
      <c r="S420" s="317">
        <f t="shared" si="580"/>
        <v>424.56413169146646</v>
      </c>
      <c r="T420" s="317">
        <f t="shared" si="581"/>
        <v>0</v>
      </c>
      <c r="U420" s="317">
        <f t="shared" si="582"/>
        <v>1057.7826773353602</v>
      </c>
      <c r="V420" s="317">
        <f t="shared" si="583"/>
        <v>519.62548713005015</v>
      </c>
      <c r="W420" s="317">
        <f t="shared" si="584"/>
        <v>12.135292165857743</v>
      </c>
      <c r="X420" s="316">
        <f t="shared" si="585"/>
        <v>417.69368279607943</v>
      </c>
      <c r="Y420" s="177"/>
      <c r="Z420" s="199"/>
      <c r="AA420" s="237"/>
      <c r="AB420" s="237">
        <v>0</v>
      </c>
      <c r="AC420" s="216" t="s">
        <v>229</v>
      </c>
    </row>
    <row r="421" spans="1:34">
      <c r="A421" s="216" t="s">
        <v>27</v>
      </c>
      <c r="K421">
        <v>1819.9</v>
      </c>
      <c r="L421">
        <v>75.5</v>
      </c>
      <c r="M421">
        <v>230.3</v>
      </c>
      <c r="N421">
        <v>133.69999999999999</v>
      </c>
      <c r="O421">
        <v>1.3</v>
      </c>
      <c r="P421" s="298">
        <f t="shared" si="578"/>
        <v>2260.7000000000003</v>
      </c>
      <c r="Q421" s="216" t="s">
        <v>20</v>
      </c>
      <c r="R421" s="317">
        <f t="shared" si="579"/>
        <v>912.46231327241162</v>
      </c>
      <c r="S421" s="317">
        <f t="shared" si="580"/>
        <v>546.64364398686371</v>
      </c>
      <c r="T421" s="317">
        <f t="shared" si="581"/>
        <v>0</v>
      </c>
      <c r="U421" s="317">
        <f t="shared" si="582"/>
        <v>728.5847032389612</v>
      </c>
      <c r="V421" s="317">
        <f t="shared" si="583"/>
        <v>546.88660769932517</v>
      </c>
      <c r="W421" s="317">
        <f t="shared" si="584"/>
        <v>9.7135962126534316</v>
      </c>
      <c r="X421" s="316">
        <f t="shared" si="585"/>
        <v>837.21449583997889</v>
      </c>
      <c r="Y421" s="177"/>
      <c r="Z421" s="199">
        <f>AA421*AB421</f>
        <v>0</v>
      </c>
      <c r="AA421" s="237">
        <v>205.27592056082699</v>
      </c>
      <c r="AB421" s="237">
        <v>0</v>
      </c>
      <c r="AC421" s="216" t="s">
        <v>230</v>
      </c>
    </row>
    <row r="422" spans="1:34">
      <c r="A422" s="216" t="s">
        <v>28</v>
      </c>
      <c r="J422">
        <v>7.9</v>
      </c>
      <c r="K422">
        <v>177.2</v>
      </c>
      <c r="M422">
        <v>72.8</v>
      </c>
      <c r="N422" s="177">
        <v>117.1</v>
      </c>
      <c r="O422" s="177"/>
      <c r="P422" s="298">
        <f t="shared" si="578"/>
        <v>375</v>
      </c>
      <c r="Q422" s="216" t="s">
        <v>21</v>
      </c>
      <c r="R422" s="317">
        <f t="shared" si="579"/>
        <v>0</v>
      </c>
      <c r="S422" s="317">
        <f t="shared" si="580"/>
        <v>388.87579744427848</v>
      </c>
      <c r="T422" s="317">
        <f t="shared" si="581"/>
        <v>0</v>
      </c>
      <c r="U422" s="317">
        <f t="shared" si="582"/>
        <v>547.86036827262512</v>
      </c>
      <c r="V422" s="317">
        <f t="shared" si="583"/>
        <v>305.69701336040384</v>
      </c>
      <c r="W422" s="317">
        <f t="shared" si="584"/>
        <v>9.647101461059691</v>
      </c>
      <c r="X422" s="316">
        <f t="shared" si="585"/>
        <v>386.3898423195256</v>
      </c>
      <c r="Y422" s="177"/>
      <c r="AC422" s="451"/>
    </row>
    <row r="423" spans="1:34">
      <c r="A423" s="216" t="s">
        <v>29</v>
      </c>
      <c r="J423">
        <v>37.5</v>
      </c>
      <c r="K423">
        <v>61.3</v>
      </c>
      <c r="L423">
        <v>26.3</v>
      </c>
      <c r="M423">
        <v>61.4</v>
      </c>
      <c r="N423" s="177">
        <v>549.6</v>
      </c>
      <c r="O423" s="177">
        <v>0.8</v>
      </c>
      <c r="P423" s="298">
        <f t="shared" si="578"/>
        <v>736.9</v>
      </c>
      <c r="Q423" s="216" t="s">
        <v>23</v>
      </c>
      <c r="R423" s="317">
        <f t="shared" si="579"/>
        <v>0</v>
      </c>
      <c r="S423" s="317">
        <f t="shared" si="580"/>
        <v>0</v>
      </c>
      <c r="T423" s="317">
        <f t="shared" si="581"/>
        <v>0</v>
      </c>
      <c r="U423" s="317">
        <f t="shared" si="582"/>
        <v>0</v>
      </c>
      <c r="V423" s="317">
        <f t="shared" si="583"/>
        <v>0</v>
      </c>
      <c r="W423" s="317">
        <f t="shared" si="584"/>
        <v>0</v>
      </c>
      <c r="X423" s="316">
        <f t="shared" si="585"/>
        <v>0</v>
      </c>
      <c r="Y423" s="177"/>
    </row>
    <row r="424" spans="1:34">
      <c r="A424" s="216" t="s">
        <v>388</v>
      </c>
      <c r="P424" s="298"/>
      <c r="Q424" s="216"/>
      <c r="R424" s="317">
        <f t="shared" si="579"/>
        <v>0</v>
      </c>
      <c r="S424" s="317">
        <f t="shared" si="580"/>
        <v>0</v>
      </c>
      <c r="T424" s="317">
        <f t="shared" si="581"/>
        <v>0</v>
      </c>
      <c r="U424" s="317">
        <f t="shared" si="582"/>
        <v>0</v>
      </c>
      <c r="V424" s="317">
        <f t="shared" si="583"/>
        <v>0</v>
      </c>
      <c r="W424" s="317">
        <f t="shared" si="584"/>
        <v>0</v>
      </c>
      <c r="X424" s="316">
        <f t="shared" si="585"/>
        <v>0</v>
      </c>
      <c r="Y424" s="177"/>
      <c r="AA424" s="216"/>
      <c r="AB424" s="237"/>
      <c r="AC424" s="237"/>
      <c r="AE424" s="216"/>
      <c r="AF424" s="237"/>
      <c r="AG424" s="237"/>
      <c r="AH424" s="237"/>
    </row>
    <row r="425" spans="1:34">
      <c r="A425" s="223" t="s">
        <v>277</v>
      </c>
      <c r="J425" s="209">
        <f t="shared" ref="J425:O425" si="586">SUM(J426:J431)</f>
        <v>65.7</v>
      </c>
      <c r="K425" s="209">
        <f t="shared" si="586"/>
        <v>16036.349999999999</v>
      </c>
      <c r="L425" s="209">
        <f t="shared" si="586"/>
        <v>607.6</v>
      </c>
      <c r="M425" s="209">
        <f t="shared" si="586"/>
        <v>804.2</v>
      </c>
      <c r="N425" s="209">
        <f t="shared" si="586"/>
        <v>3720.2</v>
      </c>
      <c r="O425" s="209">
        <f t="shared" si="586"/>
        <v>1261.6500000000001</v>
      </c>
      <c r="P425" s="298">
        <f>SUM(J425:O425)</f>
        <v>22495.7</v>
      </c>
      <c r="Q425" s="223" t="s">
        <v>24</v>
      </c>
      <c r="R425" s="316">
        <f t="shared" si="579"/>
        <v>423.34435860260521</v>
      </c>
      <c r="S425" s="316">
        <f t="shared" si="580"/>
        <v>354.60013543904597</v>
      </c>
      <c r="T425" s="316">
        <f t="shared" si="581"/>
        <v>1398.3060190919557</v>
      </c>
      <c r="U425" s="316">
        <f t="shared" si="582"/>
        <v>416.85087204587705</v>
      </c>
      <c r="V425" s="316">
        <f t="shared" si="583"/>
        <v>326.75911253622621</v>
      </c>
      <c r="W425" s="316">
        <f t="shared" si="584"/>
        <v>7.8813806546921858</v>
      </c>
      <c r="X425" s="316">
        <f t="shared" si="585"/>
        <v>358.62748120744351</v>
      </c>
      <c r="Y425" s="177"/>
      <c r="AA425" s="216"/>
      <c r="AB425" s="237"/>
      <c r="AC425" s="237"/>
      <c r="AE425" s="216"/>
      <c r="AF425" s="237"/>
      <c r="AG425" s="237"/>
      <c r="AH425" s="237"/>
    </row>
    <row r="426" spans="1:34">
      <c r="A426" s="216" t="s">
        <v>25</v>
      </c>
      <c r="K426">
        <v>2203.1999999999998</v>
      </c>
      <c r="L426">
        <v>35.200000000000003</v>
      </c>
      <c r="M426">
        <v>7.1</v>
      </c>
      <c r="N426">
        <v>602</v>
      </c>
      <c r="O426">
        <v>1252.4000000000001</v>
      </c>
      <c r="P426" s="298">
        <f t="shared" ref="P426:P431" si="587">SUM(J426:O426)</f>
        <v>4099.8999999999996</v>
      </c>
      <c r="Q426" s="216" t="s">
        <v>25</v>
      </c>
      <c r="R426" s="317">
        <f t="shared" si="579"/>
        <v>0</v>
      </c>
      <c r="S426" s="317">
        <f t="shared" si="580"/>
        <v>330.26146207066057</v>
      </c>
      <c r="T426" s="317">
        <f t="shared" si="581"/>
        <v>1109.9433389746557</v>
      </c>
      <c r="U426" s="317">
        <f t="shared" si="582"/>
        <v>448.63260494234868</v>
      </c>
      <c r="V426" s="317">
        <f t="shared" si="583"/>
        <v>296.18732013856368</v>
      </c>
      <c r="W426" s="317">
        <f t="shared" si="584"/>
        <v>7.8796280638583154</v>
      </c>
      <c r="X426" s="316">
        <f t="shared" si="585"/>
        <v>237.12215762311956</v>
      </c>
      <c r="Y426" s="177"/>
      <c r="AA426" s="216"/>
      <c r="AB426" s="237"/>
      <c r="AC426" s="237"/>
    </row>
    <row r="427" spans="1:34">
      <c r="A427" s="216" t="s">
        <v>26</v>
      </c>
      <c r="K427">
        <v>1303.9000000000001</v>
      </c>
      <c r="M427">
        <v>120.3</v>
      </c>
      <c r="N427" s="177">
        <v>14.5</v>
      </c>
      <c r="O427" s="177">
        <v>1.2</v>
      </c>
      <c r="P427" s="298">
        <f t="shared" si="587"/>
        <v>1439.9</v>
      </c>
      <c r="Q427" s="216" t="s">
        <v>26</v>
      </c>
      <c r="R427" s="317">
        <f t="shared" si="579"/>
        <v>0</v>
      </c>
      <c r="S427" s="317">
        <f t="shared" si="580"/>
        <v>340.13638950798935</v>
      </c>
      <c r="T427" s="317">
        <f t="shared" si="581"/>
        <v>0</v>
      </c>
      <c r="U427" s="317">
        <f t="shared" si="582"/>
        <v>370.54845133045893</v>
      </c>
      <c r="V427" s="317">
        <f t="shared" si="583"/>
        <v>366.75716858896931</v>
      </c>
      <c r="W427" s="317">
        <f t="shared" si="584"/>
        <v>6.8307269822667225</v>
      </c>
      <c r="X427" s="316">
        <f t="shared" si="585"/>
        <v>342.32859772583237</v>
      </c>
      <c r="Y427" s="177"/>
      <c r="AA427" s="216"/>
      <c r="AB427" s="237"/>
      <c r="AC427" s="237"/>
      <c r="AE427" s="223"/>
      <c r="AF427" s="240"/>
      <c r="AG427" s="240"/>
      <c r="AH427" s="240"/>
    </row>
    <row r="428" spans="1:34">
      <c r="A428" s="216" t="s">
        <v>27</v>
      </c>
      <c r="K428" s="177">
        <v>12014.3</v>
      </c>
      <c r="L428">
        <v>377.6</v>
      </c>
      <c r="M428">
        <v>479.2</v>
      </c>
      <c r="N428" s="177">
        <v>1123.7</v>
      </c>
      <c r="O428" s="177">
        <v>6.2</v>
      </c>
      <c r="P428" s="298">
        <f t="shared" si="587"/>
        <v>14001.000000000002</v>
      </c>
      <c r="Q428" s="216" t="s">
        <v>27</v>
      </c>
      <c r="R428" s="317">
        <f t="shared" si="579"/>
        <v>0</v>
      </c>
      <c r="S428" s="317">
        <f t="shared" si="580"/>
        <v>358.03830474525193</v>
      </c>
      <c r="T428" s="317">
        <f t="shared" si="581"/>
        <v>1363.5873097141159</v>
      </c>
      <c r="U428" s="317">
        <f t="shared" si="582"/>
        <v>434.11310080029205</v>
      </c>
      <c r="V428" s="317">
        <f t="shared" si="583"/>
        <v>249.31245729924314</v>
      </c>
      <c r="W428" s="317">
        <f t="shared" si="584"/>
        <v>8.0855472946002234</v>
      </c>
      <c r="X428" s="316">
        <f t="shared" si="585"/>
        <v>370.139961530574</v>
      </c>
      <c r="Y428" s="177"/>
      <c r="AA428" s="216"/>
      <c r="AB428" s="237"/>
      <c r="AC428" s="237"/>
      <c r="AE428" s="239"/>
      <c r="AF428" s="215"/>
      <c r="AG428" s="237"/>
      <c r="AH428" s="237"/>
    </row>
    <row r="429" spans="1:34">
      <c r="A429" s="216" t="s">
        <v>28</v>
      </c>
      <c r="J429">
        <v>10.6</v>
      </c>
      <c r="K429">
        <v>273.10000000000002</v>
      </c>
      <c r="M429">
        <v>101.4</v>
      </c>
      <c r="N429">
        <v>222.9</v>
      </c>
      <c r="O429" s="177"/>
      <c r="P429" s="298">
        <f t="shared" si="587"/>
        <v>608</v>
      </c>
      <c r="Q429" s="216" t="s">
        <v>28</v>
      </c>
      <c r="R429" s="317">
        <f t="shared" si="579"/>
        <v>478.66875450356019</v>
      </c>
      <c r="S429" s="317">
        <f t="shared" si="580"/>
        <v>286.48839190987019</v>
      </c>
      <c r="T429" s="317">
        <f t="shared" si="581"/>
        <v>0</v>
      </c>
      <c r="U429" s="317">
        <f t="shared" si="582"/>
        <v>321.70403647469237</v>
      </c>
      <c r="V429" s="317">
        <f t="shared" si="583"/>
        <v>238.77254731170362</v>
      </c>
      <c r="W429" s="317">
        <f t="shared" si="584"/>
        <v>0</v>
      </c>
      <c r="X429" s="316">
        <f t="shared" si="585"/>
        <v>271.52233627440518</v>
      </c>
      <c r="AA429" s="216"/>
      <c r="AB429" s="237"/>
      <c r="AC429" s="237"/>
      <c r="AE429" s="239"/>
      <c r="AF429" s="215"/>
      <c r="AG429" s="237"/>
      <c r="AH429" s="237"/>
    </row>
    <row r="430" spans="1:34">
      <c r="A430" s="216" t="s">
        <v>29</v>
      </c>
      <c r="J430">
        <v>55.1</v>
      </c>
      <c r="K430">
        <v>241.8</v>
      </c>
      <c r="L430">
        <v>194.8</v>
      </c>
      <c r="M430">
        <v>96.2</v>
      </c>
      <c r="N430">
        <v>1757.1</v>
      </c>
      <c r="O430">
        <v>1.8</v>
      </c>
      <c r="P430" s="298">
        <f t="shared" si="587"/>
        <v>2346.8000000000002</v>
      </c>
      <c r="Q430" s="216" t="s">
        <v>29</v>
      </c>
      <c r="R430" s="317">
        <f t="shared" si="579"/>
        <v>418.83516019061517</v>
      </c>
      <c r="S430" s="317">
        <f t="shared" si="580"/>
        <v>524.29512399711984</v>
      </c>
      <c r="T430" s="317">
        <f t="shared" si="581"/>
        <v>1525.5446736163572</v>
      </c>
      <c r="U430" s="317">
        <f t="shared" si="582"/>
        <v>480.48183983460194</v>
      </c>
      <c r="V430" s="317">
        <f t="shared" si="583"/>
        <v>483.44902916529981</v>
      </c>
      <c r="W430" s="317">
        <f t="shared" si="584"/>
        <v>10.878326861537348</v>
      </c>
      <c r="X430" s="316">
        <f t="shared" si="585"/>
        <v>625.00496033326942</v>
      </c>
      <c r="AA430" s="216"/>
      <c r="AB430" s="237"/>
      <c r="AC430" s="237"/>
      <c r="AE430" s="239"/>
      <c r="AF430" s="215"/>
      <c r="AG430" s="237"/>
      <c r="AH430" s="237"/>
    </row>
    <row r="431" spans="1:34">
      <c r="A431" s="216" t="s">
        <v>388</v>
      </c>
      <c r="K431" s="177">
        <v>0.05</v>
      </c>
      <c r="O431" s="177">
        <v>0.05</v>
      </c>
      <c r="P431" s="298">
        <f t="shared" si="587"/>
        <v>0.1</v>
      </c>
      <c r="Q431" s="216"/>
      <c r="R431" s="317">
        <f t="shared" si="579"/>
        <v>0</v>
      </c>
      <c r="S431" s="317">
        <f t="shared" si="580"/>
        <v>0</v>
      </c>
      <c r="T431" s="317">
        <f t="shared" si="581"/>
        <v>0</v>
      </c>
      <c r="U431" s="317">
        <f t="shared" si="582"/>
        <v>0</v>
      </c>
      <c r="V431" s="317">
        <f t="shared" si="583"/>
        <v>0</v>
      </c>
      <c r="W431" s="317">
        <f t="shared" si="584"/>
        <v>0</v>
      </c>
      <c r="X431" s="316">
        <f t="shared" si="585"/>
        <v>0</v>
      </c>
      <c r="AA431" s="216"/>
      <c r="AB431" s="237"/>
      <c r="AC431" s="237"/>
      <c r="AE431" s="216"/>
      <c r="AF431" s="215"/>
      <c r="AG431" s="456"/>
      <c r="AH431" s="456"/>
    </row>
    <row r="432" spans="1:34">
      <c r="J432">
        <v>55.1</v>
      </c>
      <c r="K432">
        <v>241.8</v>
      </c>
      <c r="L432">
        <v>194.8</v>
      </c>
      <c r="M432">
        <v>96.2</v>
      </c>
      <c r="N432">
        <v>1757.1</v>
      </c>
      <c r="O432">
        <v>1.8</v>
      </c>
      <c r="Q432" s="223" t="s">
        <v>10</v>
      </c>
      <c r="R432" s="316">
        <f t="shared" ref="R432:X432" si="588">R407/J388*1000000</f>
        <v>908.87948803676534</v>
      </c>
      <c r="S432" s="316">
        <f t="shared" si="588"/>
        <v>369.4705440904487</v>
      </c>
      <c r="T432" s="316">
        <f t="shared" si="588"/>
        <v>1399.564594691961</v>
      </c>
      <c r="U432" s="316">
        <f t="shared" si="588"/>
        <v>522.76051249489819</v>
      </c>
      <c r="V432" s="316">
        <f t="shared" si="588"/>
        <v>371.62489256225666</v>
      </c>
      <c r="W432" s="316">
        <f t="shared" si="588"/>
        <v>8.8447312997608893</v>
      </c>
      <c r="X432" s="225">
        <f t="shared" si="588"/>
        <v>421.97488079477682</v>
      </c>
      <c r="AA432" s="216"/>
      <c r="AB432" s="237"/>
      <c r="AC432" s="237"/>
      <c r="AE432" s="216"/>
      <c r="AF432" s="215"/>
      <c r="AG432" s="456"/>
      <c r="AH432" s="456"/>
    </row>
    <row r="433" spans="1:34">
      <c r="J433" s="90">
        <f t="shared" ref="J433:O433" si="589">IFERROR((J381/11.63+J418)/J425,"")</f>
        <v>0.8716265470997564</v>
      </c>
      <c r="K433" s="90">
        <f t="shared" si="589"/>
        <v>0.65715776132749315</v>
      </c>
      <c r="L433" s="90">
        <f t="shared" si="589"/>
        <v>0.5263431614567442</v>
      </c>
      <c r="M433" s="90">
        <f t="shared" si="589"/>
        <v>0.76721876955955426</v>
      </c>
      <c r="N433" s="90">
        <f t="shared" si="589"/>
        <v>0.57223150615105289</v>
      </c>
      <c r="O433" s="90">
        <f t="shared" si="589"/>
        <v>0.58785730065437569</v>
      </c>
      <c r="P433" s="301">
        <f>P425-('5-x'!$Y$82+'5-x'!$Y$84)</f>
        <v>0</v>
      </c>
      <c r="R433" s="361">
        <f>'12'!AE6</f>
        <v>908.87712567892527</v>
      </c>
      <c r="S433" s="361">
        <f>'12'!AE7</f>
        <v>369.47090361206028</v>
      </c>
      <c r="T433" s="234"/>
      <c r="U433" s="234"/>
      <c r="V433" s="234"/>
      <c r="W433" s="234"/>
      <c r="X433" s="226">
        <f>'12'!AE11</f>
        <v>420.57379487934031</v>
      </c>
      <c r="AE433" s="223"/>
      <c r="AF433" s="240"/>
      <c r="AG433" s="240"/>
      <c r="AH433" s="240"/>
    </row>
    <row r="434" spans="1:34">
      <c r="J434" s="90" t="str">
        <f t="shared" ref="J434:O434" si="590">IFERROR((J382/11.63+J419)/J426,"")</f>
        <v/>
      </c>
      <c r="K434" s="90">
        <f t="shared" si="590"/>
        <v>0.7239432786266955</v>
      </c>
      <c r="L434" s="90">
        <f t="shared" si="590"/>
        <v>0.65126192058156807</v>
      </c>
      <c r="M434" s="90">
        <f t="shared" si="590"/>
        <v>0.65469342278953169</v>
      </c>
      <c r="N434" s="90">
        <f t="shared" si="590"/>
        <v>0.63558088115567779</v>
      </c>
      <c r="O434" s="90">
        <f t="shared" si="590"/>
        <v>0.58779312250144378</v>
      </c>
      <c r="P434" s="305">
        <f>(P400/41.868)-'5-x'!$Y$82</f>
        <v>-1.2160695587226655E-3</v>
      </c>
      <c r="R434" s="202">
        <f>R432-R433</f>
        <v>2.3623578400702172E-3</v>
      </c>
      <c r="S434" s="202">
        <f>S432-S433</f>
        <v>-3.5952161158547824E-4</v>
      </c>
      <c r="T434" s="202"/>
      <c r="U434" s="202"/>
      <c r="V434" s="202"/>
      <c r="W434" s="202"/>
      <c r="X434" s="227">
        <f>X432-X433</f>
        <v>1.4010859154365107</v>
      </c>
      <c r="AE434" s="216"/>
      <c r="AF434" s="215"/>
      <c r="AG434" s="237"/>
      <c r="AH434" s="237"/>
    </row>
    <row r="435" spans="1:34">
      <c r="J435" s="90" t="str">
        <f t="shared" ref="J435:O435" si="591">IFERROR((J383/11.63+J420)/J427,"")</f>
        <v/>
      </c>
      <c r="K435" s="90">
        <f t="shared" si="591"/>
        <v>0.74475185462858717</v>
      </c>
      <c r="L435" s="90" t="str">
        <f t="shared" si="591"/>
        <v/>
      </c>
      <c r="M435" s="90">
        <f t="shared" si="591"/>
        <v>0.78564265747211215</v>
      </c>
      <c r="N435" s="90">
        <f t="shared" si="591"/>
        <v>0.73595042547513867</v>
      </c>
      <c r="O435" s="90">
        <f t="shared" si="591"/>
        <v>0.68443680137575236</v>
      </c>
      <c r="P435" s="305">
        <f>(P393/41.868)-'5-x'!$Y$83</f>
        <v>-1.6941817739279941E-4</v>
      </c>
      <c r="AE435" s="216"/>
      <c r="AF435" s="215"/>
      <c r="AG435" s="237"/>
      <c r="AH435" s="237"/>
    </row>
    <row r="436" spans="1:34">
      <c r="J436" s="90" t="str">
        <f t="shared" ref="J436:O436" si="592">IFERROR((J384/11.63+J421)/J428,"")</f>
        <v/>
      </c>
      <c r="K436" s="90">
        <f t="shared" si="592"/>
        <v>0.6333856353423033</v>
      </c>
      <c r="L436" s="90">
        <f t="shared" si="592"/>
        <v>0.54347524119387314</v>
      </c>
      <c r="M436" s="90">
        <f t="shared" si="592"/>
        <v>0.73921012665132635</v>
      </c>
      <c r="N436" s="90">
        <f t="shared" si="592"/>
        <v>0.60439620645804426</v>
      </c>
      <c r="O436" s="90">
        <f t="shared" si="592"/>
        <v>0.57580506476576143</v>
      </c>
      <c r="AE436" s="216"/>
      <c r="AF436" s="215"/>
      <c r="AG436" s="237"/>
      <c r="AH436" s="237"/>
    </row>
    <row r="437" spans="1:34">
      <c r="J437" s="90">
        <f t="shared" ref="J437:O437" si="593">IFERROR((J385/11.63+J422)/J429,"")</f>
        <v>0.82964519216729671</v>
      </c>
      <c r="K437" s="90">
        <f t="shared" si="593"/>
        <v>0.85122977388054022</v>
      </c>
      <c r="L437" s="90" t="str">
        <f t="shared" si="593"/>
        <v/>
      </c>
      <c r="M437" s="90">
        <f t="shared" si="593"/>
        <v>0.8695663971806572</v>
      </c>
      <c r="N437" s="90">
        <f t="shared" si="593"/>
        <v>0.76972272402362818</v>
      </c>
      <c r="O437" s="90" t="str">
        <f t="shared" si="593"/>
        <v/>
      </c>
      <c r="AE437" s="216"/>
      <c r="AF437" s="215"/>
      <c r="AG437" s="237"/>
      <c r="AH437" s="237"/>
    </row>
    <row r="438" spans="1:34">
      <c r="J438" s="90">
        <f t="shared" ref="J438:O438" si="594">IFERROR((J386/11.63+J423)/J430,"")</f>
        <v>0.87970281501779757</v>
      </c>
      <c r="K438" s="90">
        <f t="shared" si="594"/>
        <v>0.53831680851623709</v>
      </c>
      <c r="L438" s="90">
        <f t="shared" si="594"/>
        <v>0.47056177731950743</v>
      </c>
      <c r="M438" s="90">
        <f t="shared" si="594"/>
        <v>0.78412343158688813</v>
      </c>
      <c r="N438" s="90">
        <f t="shared" si="594"/>
        <v>0.5035532782290526</v>
      </c>
      <c r="O438" s="90">
        <f t="shared" si="594"/>
        <v>0.61641349001624146</v>
      </c>
    </row>
    <row r="439" spans="1:34">
      <c r="J439" s="90" t="str">
        <f t="shared" ref="J439:O439" si="595">IFERROR((J387/11.63+J424)/J431,"")</f>
        <v/>
      </c>
      <c r="K439" s="90">
        <f t="shared" si="595"/>
        <v>0.34393809114359414</v>
      </c>
      <c r="L439" s="90" t="str">
        <f t="shared" si="595"/>
        <v/>
      </c>
      <c r="M439" s="90" t="str">
        <f t="shared" si="595"/>
        <v/>
      </c>
      <c r="N439" s="90" t="str">
        <f t="shared" si="595"/>
        <v/>
      </c>
      <c r="O439" s="90">
        <f t="shared" si="595"/>
        <v>0.34393809114359414</v>
      </c>
    </row>
    <row r="440" spans="1:34">
      <c r="A440" s="68" t="str">
        <f>$A$372</f>
        <v>Dati 2019 lorda</v>
      </c>
    </row>
    <row r="441" spans="1:34">
      <c r="A441" s="68" t="s">
        <v>281</v>
      </c>
      <c r="B441" s="68"/>
      <c r="C441" s="68"/>
      <c r="D441" s="68"/>
      <c r="E441" s="68"/>
      <c r="J441" s="479">
        <v>0.20342367392287386</v>
      </c>
      <c r="K441" s="479">
        <v>8.9730984174270461</v>
      </c>
      <c r="L441" s="479">
        <v>0.89851693241757136</v>
      </c>
      <c r="M441" s="658">
        <v>1.1688742531236631</v>
      </c>
      <c r="N441" s="657">
        <v>1.789534872513427</v>
      </c>
      <c r="O441" s="657">
        <v>2.7283664352488052E-3</v>
      </c>
      <c r="P441" s="632">
        <f>SUM(J441:O441)</f>
        <v>13.036176515839831</v>
      </c>
      <c r="Q441" t="s">
        <v>402</v>
      </c>
    </row>
    <row r="442" spans="1:34">
      <c r="A442" t="s">
        <v>282</v>
      </c>
      <c r="J442" s="211">
        <f>J441/(J418*11.63)*1000000</f>
        <v>385.27065034388858</v>
      </c>
      <c r="K442" s="211">
        <f t="shared" ref="K442:P442" si="596">K441/(K418*11.63)*1000000</f>
        <v>232.88487332730634</v>
      </c>
      <c r="L442" s="211">
        <f t="shared" si="596"/>
        <v>692.90179057376065</v>
      </c>
      <c r="M442" s="211">
        <f t="shared" si="596"/>
        <v>236.31576499309134</v>
      </c>
      <c r="N442" s="211">
        <f t="shared" si="596"/>
        <v>152.31865177369903</v>
      </c>
      <c r="O442" s="211">
        <f t="shared" si="596"/>
        <v>0.85370191382798988</v>
      </c>
      <c r="P442" s="211">
        <f t="shared" si="596"/>
        <v>216.38342470700459</v>
      </c>
    </row>
    <row r="444" spans="1:34">
      <c r="A444" s="68" t="s">
        <v>283</v>
      </c>
      <c r="J444" s="304">
        <f t="shared" ref="J444:P444" si="597">J441+R400</f>
        <v>0.26184519541003337</v>
      </c>
      <c r="K444" s="304">
        <f t="shared" si="597"/>
        <v>38.770693882578655</v>
      </c>
      <c r="L444" s="304">
        <f t="shared" si="597"/>
        <v>4.286053094269743</v>
      </c>
      <c r="M444" s="304">
        <f t="shared" si="597"/>
        <v>2.0982182612976232</v>
      </c>
      <c r="N444" s="304">
        <f t="shared" si="597"/>
        <v>6.0405075470534619</v>
      </c>
      <c r="O444" s="304">
        <f t="shared" si="597"/>
        <v>4.5521898976030969E-2</v>
      </c>
      <c r="P444" s="304">
        <f t="shared" si="597"/>
        <v>51.502839879585551</v>
      </c>
    </row>
    <row r="445" spans="1:34">
      <c r="A445" t="s">
        <v>284</v>
      </c>
      <c r="J445" s="211">
        <f>J444/((J418*11.63)+J381)*1000000</f>
        <v>393.15977340913895</v>
      </c>
      <c r="K445" s="211">
        <f t="shared" ref="K445:P445" si="598">K444/((K418*11.63)+K381)*1000000</f>
        <v>316.33605271872926</v>
      </c>
      <c r="L445" s="211">
        <f t="shared" si="598"/>
        <v>1152.3677137425386</v>
      </c>
      <c r="M445" s="211">
        <f t="shared" si="598"/>
        <v>292.40692919758862</v>
      </c>
      <c r="N445" s="211">
        <f t="shared" si="598"/>
        <v>243.98080642506875</v>
      </c>
      <c r="O445" s="211">
        <f t="shared" si="598"/>
        <v>5.2775195134903825</v>
      </c>
      <c r="P445" s="211">
        <f t="shared" si="598"/>
        <v>307.46769847605532</v>
      </c>
    </row>
    <row r="446" spans="1:34">
      <c r="J446" s="211" t="str">
        <f>IFERROR((J$534*J417*11.63/1000000+R399)/(J417*11.63+J380)*1000000,"")</f>
        <v/>
      </c>
      <c r="K446" s="198"/>
      <c r="L446" s="198"/>
      <c r="M446" s="198"/>
      <c r="N446" s="198"/>
      <c r="O446" s="198"/>
      <c r="P446" s="198"/>
    </row>
    <row r="447" spans="1:34">
      <c r="A447" t="s">
        <v>285</v>
      </c>
      <c r="J447" s="298">
        <f t="shared" ref="J447:P447" si="599">IFERROR((J442*J418*11.63/1000000+R400)/(J418*11.63+J381)*1000000,"")</f>
        <v>393.15977340913895</v>
      </c>
      <c r="K447" s="298">
        <f t="shared" si="599"/>
        <v>316.33605271872926</v>
      </c>
      <c r="L447" s="298">
        <f t="shared" si="599"/>
        <v>1152.3677137425386</v>
      </c>
      <c r="M447" s="298">
        <f t="shared" si="599"/>
        <v>292.40692919758862</v>
      </c>
      <c r="N447" s="298">
        <f t="shared" si="599"/>
        <v>243.98080642506869</v>
      </c>
      <c r="O447" s="298">
        <f t="shared" si="599"/>
        <v>5.2775195134903825</v>
      </c>
      <c r="P447" s="298">
        <f t="shared" si="599"/>
        <v>307.46769847605538</v>
      </c>
      <c r="R447" s="285">
        <f t="shared" ref="R447:R453" si="600">IFERROR(J447/R425-1,"")</f>
        <v>-7.1300312807051291E-2</v>
      </c>
      <c r="S447" s="285">
        <f t="shared" ref="S447:S453" si="601">IFERROR(K447/S425-1,"")</f>
        <v>-0.10790769347264983</v>
      </c>
      <c r="T447" s="285">
        <f t="shared" ref="T447:T453" si="602">IFERROR(L447/T425-1,"")</f>
        <v>-0.1758830341795472</v>
      </c>
      <c r="U447" s="285">
        <f t="shared" ref="U447:U453" si="603">IFERROR(M447/U425-1,"")</f>
        <v>-0.29853348329949658</v>
      </c>
      <c r="V447" s="285">
        <f t="shared" ref="V447:V453" si="604">IFERROR(N447/V425-1,"")</f>
        <v>-0.25333128575558939</v>
      </c>
      <c r="W447" s="285">
        <f t="shared" ref="W447:W453" si="605">IFERROR(O447/W425-1,"")</f>
        <v>-0.33038134500604188</v>
      </c>
      <c r="X447" s="285">
        <f t="shared" ref="X447:X453" si="606">IFERROR(P447/X425-1,"")</f>
        <v>-0.14265438487630955</v>
      </c>
      <c r="AE447" s="216"/>
      <c r="AF447" s="215"/>
      <c r="AG447" s="237"/>
      <c r="AH447" s="237"/>
    </row>
    <row r="448" spans="1:34">
      <c r="A448" s="216" t="s">
        <v>25</v>
      </c>
      <c r="J448" s="211" t="str">
        <f t="shared" ref="J448:P448" si="607">IFERROR((J442*J419*11.63/1000000+R401)/(J419*11.63+J382)*1000000,"")</f>
        <v/>
      </c>
      <c r="K448" s="211">
        <f t="shared" si="607"/>
        <v>287.61701343136485</v>
      </c>
      <c r="L448" s="211">
        <f t="shared" si="607"/>
        <v>933.4807244664272</v>
      </c>
      <c r="M448" s="211">
        <f t="shared" si="607"/>
        <v>357.28059426495827</v>
      </c>
      <c r="N448" s="211">
        <f t="shared" si="607"/>
        <v>220.64699590674954</v>
      </c>
      <c r="O448" s="211">
        <f t="shared" si="607"/>
        <v>5.2807634087867985</v>
      </c>
      <c r="P448" s="211">
        <f t="shared" si="607"/>
        <v>228.16951073582018</v>
      </c>
      <c r="R448" s="284" t="str">
        <f t="shared" si="600"/>
        <v/>
      </c>
      <c r="S448" s="284">
        <f t="shared" si="601"/>
        <v>-0.12912329634806674</v>
      </c>
      <c r="T448" s="284">
        <f t="shared" si="602"/>
        <v>-0.15898344384970253</v>
      </c>
      <c r="U448" s="284">
        <f t="shared" si="603"/>
        <v>-0.20362320899331321</v>
      </c>
      <c r="V448" s="284">
        <f t="shared" si="604"/>
        <v>-0.25504239748168334</v>
      </c>
      <c r="W448" s="284">
        <f t="shared" si="605"/>
        <v>-0.32982072681727115</v>
      </c>
      <c r="X448" s="284">
        <f t="shared" si="606"/>
        <v>-3.7755420990764899E-2</v>
      </c>
    </row>
    <row r="449" spans="1:36">
      <c r="A449" s="216" t="s">
        <v>26</v>
      </c>
      <c r="J449" s="211" t="str">
        <f t="shared" ref="J449:P449" si="608">IFERROR((J442*J420*11.63/1000000+R402)/(J420*11.63+J383)*1000000,"")</f>
        <v/>
      </c>
      <c r="K449" s="211">
        <f t="shared" si="608"/>
        <v>278.71771257486262</v>
      </c>
      <c r="L449" s="211" t="str">
        <f t="shared" si="608"/>
        <v/>
      </c>
      <c r="M449" s="211">
        <f t="shared" si="608"/>
        <v>287.03721285201419</v>
      </c>
      <c r="N449" s="211">
        <f t="shared" si="608"/>
        <v>187.91240108997104</v>
      </c>
      <c r="O449" s="211">
        <f t="shared" si="608"/>
        <v>3.9198056444969378</v>
      </c>
      <c r="P449" s="211">
        <f t="shared" si="608"/>
        <v>269.34011053546226</v>
      </c>
      <c r="R449" s="284" t="str">
        <f t="shared" si="600"/>
        <v/>
      </c>
      <c r="S449" s="284">
        <f t="shared" si="601"/>
        <v>-0.18057073229350573</v>
      </c>
      <c r="T449" s="284" t="str">
        <f t="shared" si="602"/>
        <v/>
      </c>
      <c r="U449" s="284">
        <f t="shared" si="603"/>
        <v>-0.22537198085323684</v>
      </c>
      <c r="V449" s="284">
        <f t="shared" si="604"/>
        <v>-0.48763809631062038</v>
      </c>
      <c r="W449" s="284">
        <f t="shared" si="605"/>
        <v>-0.42615102979914721</v>
      </c>
      <c r="X449" s="284">
        <f t="shared" si="606"/>
        <v>-0.21321177276818071</v>
      </c>
    </row>
    <row r="450" spans="1:36">
      <c r="A450" s="216" t="s">
        <v>27</v>
      </c>
      <c r="J450" s="211" t="str">
        <f t="shared" ref="J450:P450" si="609">IFERROR((J442*J421*11.63/1000000+R403)/(J421*11.63+J384)*1000000,"")</f>
        <v/>
      </c>
      <c r="K450" s="211">
        <f t="shared" si="609"/>
        <v>328.10714088243873</v>
      </c>
      <c r="L450" s="211">
        <f t="shared" si="609"/>
        <v>1116.8390311061103</v>
      </c>
      <c r="M450" s="211">
        <f t="shared" si="609"/>
        <v>305.51644982607706</v>
      </c>
      <c r="N450" s="211">
        <f t="shared" si="609"/>
        <v>230.21817690816783</v>
      </c>
      <c r="O450" s="211">
        <f t="shared" si="609"/>
        <v>5.4520958552135479</v>
      </c>
      <c r="P450" s="211">
        <f t="shared" si="609"/>
        <v>330.87167534738006</v>
      </c>
      <c r="R450" s="284" t="str">
        <f t="shared" si="600"/>
        <v/>
      </c>
      <c r="S450" s="284">
        <f t="shared" si="601"/>
        <v>-8.3597658312312584E-2</v>
      </c>
      <c r="T450" s="284">
        <f t="shared" si="602"/>
        <v>-0.18095524712659428</v>
      </c>
      <c r="U450" s="284">
        <f t="shared" si="603"/>
        <v>-0.29622844999873466</v>
      </c>
      <c r="V450" s="284">
        <f t="shared" si="604"/>
        <v>-7.6587750960863343E-2</v>
      </c>
      <c r="W450" s="284">
        <f t="shared" si="605"/>
        <v>-0.3256986006556879</v>
      </c>
      <c r="X450" s="284">
        <f t="shared" si="606"/>
        <v>-0.10609037192529758</v>
      </c>
    </row>
    <row r="451" spans="1:36">
      <c r="A451" s="216" t="s">
        <v>28</v>
      </c>
      <c r="J451" s="211">
        <f t="shared" ref="J451:P451" si="610">IFERROR((J442*J422*11.63/1000000+R404)/(J422*11.63+J385)*1000000,"")</f>
        <v>394.76780301028072</v>
      </c>
      <c r="K451" s="211">
        <f t="shared" si="610"/>
        <v>245.62931886097738</v>
      </c>
      <c r="L451" s="211" t="str">
        <f t="shared" si="610"/>
        <v/>
      </c>
      <c r="M451" s="211">
        <f t="shared" si="610"/>
        <v>251.20407208228247</v>
      </c>
      <c r="N451" s="211">
        <f t="shared" si="610"/>
        <v>179.76642360549482</v>
      </c>
      <c r="O451" s="211" t="str">
        <f t="shared" si="610"/>
        <v/>
      </c>
      <c r="P451" s="211">
        <f t="shared" si="610"/>
        <v>230.25154585550519</v>
      </c>
      <c r="R451" s="284">
        <f t="shared" si="600"/>
        <v>-0.17527977480020673</v>
      </c>
      <c r="S451" s="284">
        <f t="shared" si="601"/>
        <v>-0.14262034414904723</v>
      </c>
      <c r="T451" s="284" t="str">
        <f t="shared" si="602"/>
        <v/>
      </c>
      <c r="U451" s="284">
        <f t="shared" si="603"/>
        <v>-0.21914541441557556</v>
      </c>
      <c r="V451" s="284">
        <f t="shared" si="604"/>
        <v>-0.24712272985545425</v>
      </c>
      <c r="W451" s="284" t="str">
        <f t="shared" si="605"/>
        <v/>
      </c>
      <c r="X451" s="284">
        <f t="shared" si="606"/>
        <v>-0.15199777294635175</v>
      </c>
    </row>
    <row r="452" spans="1:36">
      <c r="A452" s="216" t="s">
        <v>29</v>
      </c>
      <c r="J452" s="211">
        <f t="shared" ref="J452:P452" si="611">IFERROR((J442*J423*11.63/1000000+R405)/(J423*11.63+J386)*1000000,"")</f>
        <v>392.86802753390555</v>
      </c>
      <c r="K452" s="211">
        <f t="shared" si="611"/>
        <v>387.05817261966138</v>
      </c>
      <c r="L452" s="211">
        <f t="shared" si="611"/>
        <v>1286.6486490688317</v>
      </c>
      <c r="M452" s="211">
        <f t="shared" si="611"/>
        <v>281.73776546059725</v>
      </c>
      <c r="N452" s="211">
        <f t="shared" si="611"/>
        <v>277.76345103078228</v>
      </c>
      <c r="O452" s="211">
        <f t="shared" si="611"/>
        <v>3.6504044720854059</v>
      </c>
      <c r="P452" s="211">
        <f t="shared" si="611"/>
        <v>380.52300101836653</v>
      </c>
      <c r="R452" s="284">
        <f t="shared" si="600"/>
        <v>-6.1998454582685381E-2</v>
      </c>
      <c r="S452" s="284">
        <f t="shared" si="601"/>
        <v>-0.26175515486619771</v>
      </c>
      <c r="T452" s="284">
        <f t="shared" si="602"/>
        <v>-0.1565972001208028</v>
      </c>
      <c r="U452" s="284">
        <f t="shared" si="603"/>
        <v>-0.41363493455323741</v>
      </c>
      <c r="V452" s="284">
        <f t="shared" si="604"/>
        <v>-0.42545452721178179</v>
      </c>
      <c r="W452" s="284">
        <f t="shared" si="605"/>
        <v>-0.66443327925802709</v>
      </c>
      <c r="X452" s="284">
        <f t="shared" si="606"/>
        <v>-0.39116803038577252</v>
      </c>
    </row>
    <row r="453" spans="1:36">
      <c r="A453" s="216" t="s">
        <v>388</v>
      </c>
      <c r="J453" s="211" t="str">
        <f t="shared" ref="J453:P453" si="612">IFERROR((J$534*J424*11.63/1000000+R406)/(J424*11.63+J387)*1000000,"")</f>
        <v/>
      </c>
      <c r="K453" s="211">
        <f t="shared" si="612"/>
        <v>0</v>
      </c>
      <c r="L453" s="211" t="str">
        <f t="shared" si="612"/>
        <v/>
      </c>
      <c r="M453" s="211" t="str">
        <f t="shared" si="612"/>
        <v/>
      </c>
      <c r="N453" s="211" t="str">
        <f t="shared" si="612"/>
        <v/>
      </c>
      <c r="O453" s="211">
        <f t="shared" si="612"/>
        <v>0</v>
      </c>
      <c r="P453" s="211">
        <f t="shared" si="612"/>
        <v>0</v>
      </c>
      <c r="R453" s="284" t="str">
        <f t="shared" si="600"/>
        <v/>
      </c>
      <c r="S453" s="284" t="str">
        <f t="shared" si="601"/>
        <v/>
      </c>
      <c r="T453" s="284" t="str">
        <f t="shared" si="602"/>
        <v/>
      </c>
      <c r="U453" s="284" t="str">
        <f t="shared" si="603"/>
        <v/>
      </c>
      <c r="V453" s="284" t="str">
        <f t="shared" si="604"/>
        <v/>
      </c>
      <c r="W453" s="284" t="str">
        <f t="shared" si="605"/>
        <v/>
      </c>
      <c r="X453" s="284" t="str">
        <f t="shared" si="606"/>
        <v/>
      </c>
    </row>
    <row r="454" spans="1:36">
      <c r="J454" s="211"/>
      <c r="K454" s="211"/>
      <c r="L454" s="211"/>
      <c r="M454" s="211"/>
      <c r="N454" s="211"/>
      <c r="O454" s="211"/>
      <c r="P454" s="211"/>
    </row>
    <row r="455" spans="1:36">
      <c r="J455" s="211"/>
      <c r="K455" s="211"/>
      <c r="L455" s="211"/>
      <c r="M455" s="211"/>
      <c r="N455" s="211"/>
      <c r="O455" s="211"/>
      <c r="P455" s="211"/>
    </row>
    <row r="456" spans="1:36">
      <c r="J456" s="211"/>
      <c r="K456" s="211"/>
      <c r="L456" s="211"/>
      <c r="M456" s="211"/>
      <c r="N456" s="211"/>
      <c r="O456" s="211"/>
      <c r="P456" s="211"/>
    </row>
    <row r="457" spans="1:36">
      <c r="J457" s="211"/>
      <c r="K457" s="211"/>
      <c r="L457" s="211"/>
      <c r="M457" s="211"/>
      <c r="N457" s="211"/>
      <c r="O457" s="211"/>
      <c r="P457" s="211"/>
    </row>
    <row r="458" spans="1:36">
      <c r="J458" s="211"/>
      <c r="K458" s="211"/>
      <c r="L458" s="211"/>
      <c r="M458" s="211"/>
      <c r="N458" s="211"/>
      <c r="O458" s="211"/>
      <c r="P458" s="211"/>
    </row>
    <row r="459" spans="1:36">
      <c r="J459" s="211"/>
      <c r="K459" s="211"/>
      <c r="L459" s="211"/>
      <c r="M459" s="211"/>
      <c r="N459" s="211"/>
      <c r="O459" s="211"/>
      <c r="P459" s="211"/>
    </row>
    <row r="462" spans="1:36">
      <c r="J462" s="284">
        <f>J473/J480</f>
        <v>4.8064865791401859E-3</v>
      </c>
      <c r="K462" s="284">
        <f t="shared" ref="K462:P462" si="613">K473/K480</f>
        <v>0.63112546540863768</v>
      </c>
      <c r="L462" s="284">
        <f t="shared" si="613"/>
        <v>0.9889770215737701</v>
      </c>
      <c r="M462" s="284">
        <f t="shared" si="613"/>
        <v>0.64943231228601483</v>
      </c>
      <c r="N462" s="284">
        <f t="shared" si="613"/>
        <v>0.65051583338509977</v>
      </c>
      <c r="O462" s="284">
        <f t="shared" si="613"/>
        <v>0.64622984094576275</v>
      </c>
      <c r="P462" s="284">
        <f t="shared" si="613"/>
        <v>0.54609551191934169</v>
      </c>
    </row>
    <row r="463" spans="1:36">
      <c r="J463" s="196">
        <f>J517*((J473/11.63)/((J473/11.63)+J510))*41.868</f>
        <v>564.89962911103487</v>
      </c>
      <c r="K463" s="196">
        <f t="shared" ref="K463:P463" si="614">K517*((K473/11.63)/((K473/11.63)+K510))*41.868</f>
        <v>443425.09841218044</v>
      </c>
      <c r="L463" s="196">
        <f t="shared" si="614"/>
        <v>20226.838927283417</v>
      </c>
      <c r="M463" s="196">
        <f t="shared" si="614"/>
        <v>9943.7416628548453</v>
      </c>
      <c r="N463" s="196">
        <f t="shared" si="614"/>
        <v>83726.909224744551</v>
      </c>
      <c r="O463" s="196">
        <f t="shared" si="614"/>
        <v>33117.476218997974</v>
      </c>
      <c r="P463" s="196">
        <f t="shared" si="614"/>
        <v>589346.57601790735</v>
      </c>
    </row>
    <row r="464" spans="1:36">
      <c r="A464" s="450" t="s">
        <v>386</v>
      </c>
      <c r="J464" s="68" t="s">
        <v>199</v>
      </c>
      <c r="R464" s="68" t="s">
        <v>136</v>
      </c>
      <c r="S464" s="68"/>
      <c r="AJ464" s="68" t="s">
        <v>288</v>
      </c>
    </row>
    <row r="465" spans="1:43" ht="15.6">
      <c r="A465" s="68"/>
      <c r="J465" s="210" t="s">
        <v>5</v>
      </c>
      <c r="K465" s="210" t="s">
        <v>210</v>
      </c>
      <c r="L465" s="210" t="s">
        <v>211</v>
      </c>
      <c r="M465" s="210" t="s">
        <v>214</v>
      </c>
      <c r="N465" s="210" t="s">
        <v>216</v>
      </c>
      <c r="O465" s="210" t="s">
        <v>215</v>
      </c>
      <c r="P465" s="210" t="s">
        <v>213</v>
      </c>
      <c r="Q465" s="2"/>
      <c r="R465" s="210" t="s">
        <v>5</v>
      </c>
      <c r="S465" s="210" t="s">
        <v>210</v>
      </c>
      <c r="T465" s="210" t="s">
        <v>211</v>
      </c>
      <c r="U465" s="210" t="s">
        <v>214</v>
      </c>
      <c r="V465" s="210" t="s">
        <v>216</v>
      </c>
      <c r="W465" s="210" t="s">
        <v>215</v>
      </c>
      <c r="X465" s="210" t="s">
        <v>213</v>
      </c>
      <c r="AA465" s="68" t="s">
        <v>218</v>
      </c>
      <c r="AB465" s="213" t="s">
        <v>217</v>
      </c>
      <c r="AJ465" s="68"/>
      <c r="AK465" s="210" t="s">
        <v>5</v>
      </c>
      <c r="AL465" s="210" t="s">
        <v>210</v>
      </c>
      <c r="AM465" s="210" t="s">
        <v>211</v>
      </c>
      <c r="AN465" s="210" t="s">
        <v>214</v>
      </c>
      <c r="AO465" s="210" t="s">
        <v>216</v>
      </c>
      <c r="AP465" s="210" t="s">
        <v>215</v>
      </c>
      <c r="AQ465" s="210" t="s">
        <v>213</v>
      </c>
    </row>
    <row r="466" spans="1:43" ht="15.6">
      <c r="A466" s="11" t="s">
        <v>17</v>
      </c>
      <c r="J466" s="209">
        <f t="shared" ref="J466:P466" si="615">SUM(J467:J472)</f>
        <v>28333.02</v>
      </c>
      <c r="K466" s="209">
        <f t="shared" si="615"/>
        <v>47414.239999999998</v>
      </c>
      <c r="L466" s="209">
        <f t="shared" si="615"/>
        <v>27.78</v>
      </c>
      <c r="M466" s="209">
        <f t="shared" si="615"/>
        <v>1152.9399999999998</v>
      </c>
      <c r="N466" s="209">
        <f t="shared" si="615"/>
        <v>7313.76</v>
      </c>
      <c r="O466" s="209">
        <f t="shared" si="615"/>
        <v>2966.4300000000003</v>
      </c>
      <c r="P466" s="209">
        <f t="shared" si="615"/>
        <v>87208.17</v>
      </c>
      <c r="Q466" s="2"/>
      <c r="R466" s="236">
        <v>9.3989999999999991</v>
      </c>
      <c r="S466" s="236">
        <v>6.8049999999999997</v>
      </c>
      <c r="T466" s="236">
        <v>9.16</v>
      </c>
      <c r="U466" s="236">
        <v>10.709</v>
      </c>
      <c r="V466" s="236">
        <v>11.289</v>
      </c>
      <c r="W466" s="236">
        <v>9.7850000000000001</v>
      </c>
      <c r="X466" s="236">
        <v>8.1780000000000008</v>
      </c>
      <c r="AA466" s="68" t="s">
        <v>5</v>
      </c>
      <c r="AC466" s="451"/>
      <c r="AJ466" s="11" t="s">
        <v>17</v>
      </c>
      <c r="AK466" s="286">
        <f t="shared" ref="AK466:AQ470" si="616">IFERROR(J466*3.6/J485,"")</f>
        <v>0.3830194701563997</v>
      </c>
      <c r="AL466" s="286">
        <f t="shared" si="616"/>
        <v>0.52905031259262292</v>
      </c>
      <c r="AM466" s="286">
        <f t="shared" si="616"/>
        <v>0.3930131004366812</v>
      </c>
      <c r="AN466" s="286">
        <f t="shared" si="616"/>
        <v>0.3361639686160463</v>
      </c>
      <c r="AO466" s="286">
        <f t="shared" si="616"/>
        <v>0.31890282931871144</v>
      </c>
      <c r="AP466" s="286">
        <f t="shared" si="616"/>
        <v>0.36789712092894955</v>
      </c>
      <c r="AQ466" s="286">
        <f t="shared" si="616"/>
        <v>0.4402408997796286</v>
      </c>
    </row>
    <row r="467" spans="1:43" ht="15.6">
      <c r="A467" s="10" t="s">
        <v>18</v>
      </c>
      <c r="J467" s="177">
        <v>0</v>
      </c>
      <c r="K467" s="177">
        <v>256.85000000000002</v>
      </c>
      <c r="L467" s="177">
        <v>27.78</v>
      </c>
      <c r="M467" s="177">
        <v>193.1</v>
      </c>
      <c r="N467" s="177">
        <v>1340.61</v>
      </c>
      <c r="O467" s="177">
        <v>2917.9</v>
      </c>
      <c r="P467" s="209">
        <f t="shared" ref="P467:P472" si="617">SUM(J467:O467)</f>
        <v>4736.24</v>
      </c>
      <c r="Q467" s="2"/>
      <c r="R467" s="201">
        <v>0</v>
      </c>
      <c r="S467" s="201">
        <v>9.8149999999999995</v>
      </c>
      <c r="T467" s="201">
        <v>9.16</v>
      </c>
      <c r="U467" s="201">
        <v>9.6110000000000007</v>
      </c>
      <c r="V467" s="201">
        <v>8.6929999999999996</v>
      </c>
      <c r="W467" s="201">
        <v>9.7750000000000004</v>
      </c>
      <c r="X467" s="236">
        <v>9.4610000000000003</v>
      </c>
      <c r="Y467" s="177"/>
      <c r="Z467" s="199">
        <f>AA467*AB467</f>
        <v>601258.01217640855</v>
      </c>
      <c r="AA467" s="237">
        <v>6374.10778838853</v>
      </c>
      <c r="AB467" s="237">
        <v>94.328183980775705</v>
      </c>
      <c r="AC467" s="216" t="s">
        <v>59</v>
      </c>
      <c r="AD467" s="388"/>
      <c r="AE467" s="216"/>
      <c r="AF467" s="215"/>
      <c r="AG467" s="237"/>
      <c r="AH467" s="237"/>
      <c r="AJ467" s="10" t="s">
        <v>18</v>
      </c>
      <c r="AK467" s="56" t="str">
        <f t="shared" si="616"/>
        <v/>
      </c>
      <c r="AL467" s="56">
        <f t="shared" si="616"/>
        <v>0.3667855323484463</v>
      </c>
      <c r="AM467" s="56">
        <f t="shared" si="616"/>
        <v>0.3930131004366812</v>
      </c>
      <c r="AN467" s="56">
        <f t="shared" si="616"/>
        <v>0.37457080428675477</v>
      </c>
      <c r="AO467" s="56">
        <f t="shared" si="616"/>
        <v>0.41412630852409987</v>
      </c>
      <c r="AP467" s="56">
        <f t="shared" si="616"/>
        <v>0.36828644501278768</v>
      </c>
      <c r="AQ467" s="286">
        <f t="shared" si="616"/>
        <v>0.38052508322198558</v>
      </c>
    </row>
    <row r="468" spans="1:43" ht="15.6">
      <c r="A468" s="10" t="s">
        <v>19</v>
      </c>
      <c r="J468" s="177">
        <v>0</v>
      </c>
      <c r="K468" s="177">
        <v>249.89</v>
      </c>
      <c r="L468" s="177">
        <v>0</v>
      </c>
      <c r="M468" s="177">
        <v>8.74</v>
      </c>
      <c r="N468" s="177">
        <v>11.23</v>
      </c>
      <c r="O468" s="177">
        <v>29.11</v>
      </c>
      <c r="P468" s="209">
        <f t="shared" si="617"/>
        <v>298.97000000000003</v>
      </c>
      <c r="Q468" s="2"/>
      <c r="R468" s="201">
        <v>0</v>
      </c>
      <c r="S468" s="201">
        <v>11.215999999999999</v>
      </c>
      <c r="T468" s="201">
        <v>0</v>
      </c>
      <c r="U468" s="201">
        <v>15.464</v>
      </c>
      <c r="V468" s="201">
        <v>13.404</v>
      </c>
      <c r="W468" s="201">
        <v>11.319000000000001</v>
      </c>
      <c r="X468" s="236">
        <v>11.432</v>
      </c>
      <c r="Y468" s="177"/>
      <c r="Z468" s="199">
        <f>AA468*AB468</f>
        <v>90.212499946757305</v>
      </c>
      <c r="AA468" s="237">
        <v>0.956368458923611</v>
      </c>
      <c r="AB468" s="237">
        <v>94.328183980775705</v>
      </c>
      <c r="AC468" s="216" t="s">
        <v>60</v>
      </c>
      <c r="AD468" s="388"/>
      <c r="AE468" s="216"/>
      <c r="AF468" s="215"/>
      <c r="AG468" s="237"/>
      <c r="AH468" s="237"/>
      <c r="AJ468" s="10" t="s">
        <v>19</v>
      </c>
      <c r="AK468" s="56" t="str">
        <f t="shared" si="616"/>
        <v/>
      </c>
      <c r="AL468" s="56">
        <f t="shared" si="616"/>
        <v>0.32097004279600572</v>
      </c>
      <c r="AM468" s="56" t="str">
        <f t="shared" si="616"/>
        <v/>
      </c>
      <c r="AN468" s="56">
        <f t="shared" si="616"/>
        <v>0.23279875840662184</v>
      </c>
      <c r="AO468" s="56">
        <f t="shared" si="616"/>
        <v>0.26857654431512978</v>
      </c>
      <c r="AP468" s="56">
        <f t="shared" si="616"/>
        <v>0.31804929764113438</v>
      </c>
      <c r="AQ468" s="286">
        <f t="shared" si="616"/>
        <v>0.31489451199737262</v>
      </c>
    </row>
    <row r="469" spans="1:43" ht="15.6">
      <c r="A469" s="10" t="s">
        <v>20</v>
      </c>
      <c r="J469" s="177">
        <v>28333.02</v>
      </c>
      <c r="K469" s="177">
        <v>226.6</v>
      </c>
      <c r="L469" s="177">
        <v>0</v>
      </c>
      <c r="M469" s="177">
        <v>950.5</v>
      </c>
      <c r="N469" s="177">
        <v>4337.5</v>
      </c>
      <c r="O469" s="177">
        <v>8.51</v>
      </c>
      <c r="P469" s="209">
        <f t="shared" si="617"/>
        <v>33856.129999999997</v>
      </c>
      <c r="Q469" s="2"/>
      <c r="R469" s="201">
        <v>9.3989999999999991</v>
      </c>
      <c r="S469" s="201">
        <v>8.9610000000000003</v>
      </c>
      <c r="T469" s="201">
        <v>0</v>
      </c>
      <c r="U469" s="201">
        <v>10.89</v>
      </c>
      <c r="V469" s="201">
        <v>13.419</v>
      </c>
      <c r="W469" s="201">
        <v>9.0980000000000008</v>
      </c>
      <c r="X469" s="236">
        <v>9.9529999999999994</v>
      </c>
      <c r="Y469" s="177"/>
      <c r="Z469" s="199">
        <f>AA469*AB469</f>
        <v>0</v>
      </c>
      <c r="AA469" s="237"/>
      <c r="AB469" s="237">
        <v>101</v>
      </c>
      <c r="AC469" s="216" t="s">
        <v>61</v>
      </c>
      <c r="AD469" s="388"/>
      <c r="AE469" s="216"/>
      <c r="AF469" s="215"/>
      <c r="AG469" s="237"/>
      <c r="AH469" s="237"/>
      <c r="AJ469" s="10" t="s">
        <v>20</v>
      </c>
      <c r="AK469" s="56">
        <f t="shared" si="616"/>
        <v>0.3830194701563997</v>
      </c>
      <c r="AL469" s="56">
        <f t="shared" si="616"/>
        <v>0.40174087713424839</v>
      </c>
      <c r="AM469" s="56" t="str">
        <f t="shared" si="616"/>
        <v/>
      </c>
      <c r="AN469" s="56">
        <f t="shared" si="616"/>
        <v>0.33057851239669422</v>
      </c>
      <c r="AO469" s="56">
        <f t="shared" si="616"/>
        <v>0.2682763246143528</v>
      </c>
      <c r="AP469" s="56">
        <f t="shared" si="616"/>
        <v>0.39569136073862388</v>
      </c>
      <c r="AQ469" s="286">
        <f t="shared" si="616"/>
        <v>0.36170445834430787</v>
      </c>
    </row>
    <row r="470" spans="1:43" ht="15.6">
      <c r="A470" s="10" t="s">
        <v>21</v>
      </c>
      <c r="J470" s="177">
        <v>0</v>
      </c>
      <c r="K470" s="177">
        <v>46680.9</v>
      </c>
      <c r="L470" s="177">
        <v>0</v>
      </c>
      <c r="M470" s="177">
        <v>0.6</v>
      </c>
      <c r="N470" s="177">
        <v>1624.42</v>
      </c>
      <c r="O470" s="177">
        <v>10.91</v>
      </c>
      <c r="P470" s="209">
        <f t="shared" si="617"/>
        <v>48316.83</v>
      </c>
      <c r="Q470" s="2"/>
      <c r="R470" s="201">
        <v>0</v>
      </c>
      <c r="S470" s="201">
        <v>6.7539999999999996</v>
      </c>
      <c r="T470" s="201">
        <v>0</v>
      </c>
      <c r="U470" s="201">
        <v>8.1980000000000004</v>
      </c>
      <c r="V470" s="201">
        <v>7.7279999999999998</v>
      </c>
      <c r="W470" s="201">
        <v>8.9960000000000004</v>
      </c>
      <c r="X470" s="236">
        <v>6.7880000000000003</v>
      </c>
      <c r="Y470" s="177"/>
      <c r="Z470" s="199">
        <f>AA470*AB470</f>
        <v>0</v>
      </c>
      <c r="AA470" s="237">
        <v>0</v>
      </c>
      <c r="AB470" s="237">
        <v>96.1</v>
      </c>
      <c r="AC470" s="216" t="s">
        <v>62</v>
      </c>
      <c r="AD470" s="388"/>
      <c r="AE470" s="216"/>
      <c r="AF470" s="215"/>
      <c r="AG470" s="237"/>
      <c r="AH470" s="237"/>
      <c r="AJ470" s="10" t="s">
        <v>21</v>
      </c>
      <c r="AK470" s="56" t="str">
        <f t="shared" si="616"/>
        <v/>
      </c>
      <c r="AL470" s="56">
        <f t="shared" si="616"/>
        <v>0.5330174711282204</v>
      </c>
      <c r="AM470" s="56" t="str">
        <f t="shared" si="616"/>
        <v/>
      </c>
      <c r="AN470" s="56">
        <f t="shared" si="616"/>
        <v>0.4391314954867041</v>
      </c>
      <c r="AO470" s="56">
        <f t="shared" si="616"/>
        <v>0.46583850931677018</v>
      </c>
      <c r="AP470" s="56">
        <f t="shared" si="616"/>
        <v>0.4001778568252557</v>
      </c>
      <c r="AQ470" s="286">
        <f t="shared" si="616"/>
        <v>0.53040469611726682</v>
      </c>
    </row>
    <row r="471" spans="1:43" ht="15.6">
      <c r="A471" s="10" t="s">
        <v>23</v>
      </c>
      <c r="J471" s="177">
        <v>0</v>
      </c>
      <c r="K471" s="177">
        <v>0</v>
      </c>
      <c r="L471" s="177">
        <v>0</v>
      </c>
      <c r="M471" s="177">
        <v>0</v>
      </c>
      <c r="N471" s="177">
        <v>0</v>
      </c>
      <c r="O471" s="177">
        <v>0</v>
      </c>
      <c r="P471" s="209">
        <f t="shared" si="617"/>
        <v>0</v>
      </c>
      <c r="Q471" s="2"/>
      <c r="R471" s="201">
        <v>0</v>
      </c>
      <c r="S471" s="201">
        <v>0</v>
      </c>
      <c r="T471" s="201">
        <v>0</v>
      </c>
      <c r="U471" s="201">
        <v>0</v>
      </c>
      <c r="V471" s="201">
        <v>0</v>
      </c>
      <c r="W471" s="201">
        <v>0</v>
      </c>
      <c r="X471" s="236">
        <v>0</v>
      </c>
      <c r="Y471" s="177"/>
      <c r="AA471" t="s">
        <v>210</v>
      </c>
      <c r="AC471" s="451"/>
      <c r="AD471" s="388"/>
      <c r="AE471" s="223"/>
      <c r="AF471" s="240"/>
      <c r="AG471" s="240"/>
      <c r="AH471" s="240"/>
      <c r="AJ471" s="10" t="s">
        <v>23</v>
      </c>
      <c r="AK471" s="56" t="str">
        <f t="shared" ref="AK471:AQ472" si="618">IFERROR(J471*3.6/J490,"")</f>
        <v/>
      </c>
      <c r="AL471" s="56" t="str">
        <f t="shared" si="618"/>
        <v/>
      </c>
      <c r="AM471" s="56" t="str">
        <f t="shared" si="618"/>
        <v/>
      </c>
      <c r="AN471" s="56" t="str">
        <f t="shared" si="618"/>
        <v/>
      </c>
      <c r="AO471" s="56" t="str">
        <f t="shared" si="618"/>
        <v/>
      </c>
      <c r="AP471" s="56" t="str">
        <f t="shared" si="618"/>
        <v/>
      </c>
      <c r="AQ471" s="286" t="str">
        <f t="shared" si="618"/>
        <v/>
      </c>
    </row>
    <row r="472" spans="1:43" ht="15.6">
      <c r="A472" s="10" t="s">
        <v>387</v>
      </c>
      <c r="J472" s="177">
        <v>0</v>
      </c>
      <c r="K472" s="177">
        <v>0</v>
      </c>
      <c r="L472" s="177">
        <v>0</v>
      </c>
      <c r="M472" s="177">
        <v>0</v>
      </c>
      <c r="N472" s="177">
        <v>0</v>
      </c>
      <c r="O472" s="177">
        <v>0</v>
      </c>
      <c r="P472" s="209">
        <f t="shared" si="617"/>
        <v>0</v>
      </c>
      <c r="Q472" s="2"/>
      <c r="R472" s="201">
        <v>0</v>
      </c>
      <c r="S472" s="201">
        <v>9.5250000000000004</v>
      </c>
      <c r="T472" s="201">
        <v>0</v>
      </c>
      <c r="U472" s="201">
        <v>0</v>
      </c>
      <c r="V472" s="201">
        <v>0</v>
      </c>
      <c r="W472" s="201">
        <v>0</v>
      </c>
      <c r="X472" s="236">
        <v>0</v>
      </c>
      <c r="Y472" s="177"/>
      <c r="Z472" s="199"/>
      <c r="AA472" s="237">
        <v>19609.000150509321</v>
      </c>
      <c r="AB472" s="237">
        <v>57.514354246521499</v>
      </c>
      <c r="AC472" s="451"/>
      <c r="AD472" s="388"/>
      <c r="AE472" s="216"/>
      <c r="AF472" s="215"/>
      <c r="AG472" s="237"/>
      <c r="AH472" s="237"/>
      <c r="AJ472" s="10" t="s">
        <v>387</v>
      </c>
      <c r="AK472" s="56" t="str">
        <f t="shared" si="618"/>
        <v/>
      </c>
      <c r="AL472" s="56" t="str">
        <f t="shared" si="618"/>
        <v/>
      </c>
      <c r="AM472" s="56" t="str">
        <f t="shared" si="618"/>
        <v/>
      </c>
      <c r="AN472" s="56" t="str">
        <f t="shared" si="618"/>
        <v/>
      </c>
      <c r="AO472" s="56" t="str">
        <f t="shared" si="618"/>
        <v/>
      </c>
      <c r="AP472" s="56" t="str">
        <f t="shared" si="618"/>
        <v/>
      </c>
      <c r="AQ472" s="286" t="str">
        <f t="shared" si="618"/>
        <v/>
      </c>
    </row>
    <row r="473" spans="1:43" ht="15.6">
      <c r="A473" s="509" t="s">
        <v>24</v>
      </c>
      <c r="B473" s="510"/>
      <c r="C473" s="510"/>
      <c r="D473" s="510"/>
      <c r="E473" s="510"/>
      <c r="F473" s="510"/>
      <c r="G473" s="510"/>
      <c r="H473" s="510"/>
      <c r="I473" s="510"/>
      <c r="J473" s="511">
        <f t="shared" ref="J473:P473" si="619">SUM(J474:J479)</f>
        <v>136.84</v>
      </c>
      <c r="K473" s="511">
        <f t="shared" si="619"/>
        <v>81123.34</v>
      </c>
      <c r="L473" s="511">
        <f t="shared" si="619"/>
        <v>2492.41</v>
      </c>
      <c r="M473" s="511">
        <f t="shared" si="619"/>
        <v>2135.8399999999997</v>
      </c>
      <c r="N473" s="511">
        <f t="shared" si="619"/>
        <v>13613.54</v>
      </c>
      <c r="O473" s="511">
        <f t="shared" si="619"/>
        <v>5418.76</v>
      </c>
      <c r="P473" s="511">
        <f t="shared" si="619"/>
        <v>104920.73</v>
      </c>
      <c r="Q473" s="2"/>
      <c r="R473" s="236">
        <v>4.452</v>
      </c>
      <c r="S473" s="236">
        <v>6.4130000000000003</v>
      </c>
      <c r="T473" s="236">
        <v>9.24</v>
      </c>
      <c r="U473" s="236">
        <v>6.1989999999999998</v>
      </c>
      <c r="V473" s="236">
        <v>8.0329999999999995</v>
      </c>
      <c r="W473" s="236">
        <v>7.05</v>
      </c>
      <c r="X473" s="236">
        <v>6.508</v>
      </c>
      <c r="Y473" s="177"/>
      <c r="Z473" s="199"/>
      <c r="AA473" s="470" t="s">
        <v>237</v>
      </c>
      <c r="AB473" s="388"/>
      <c r="AC473" s="451"/>
      <c r="AD473" s="388"/>
      <c r="AE473" s="223"/>
      <c r="AF473" s="240"/>
      <c r="AG473" s="240"/>
      <c r="AH473" s="240"/>
      <c r="AJ473" s="11" t="s">
        <v>24</v>
      </c>
      <c r="AK473" s="286">
        <f t="shared" ref="AK473:AQ480" si="620">IFERROR(J473*3.6/J492,"")</f>
        <v>0.80861057727977359</v>
      </c>
      <c r="AL473" s="286">
        <f t="shared" si="620"/>
        <v>0.58604936860343371</v>
      </c>
      <c r="AM473" s="286">
        <f t="shared" si="620"/>
        <v>0.38961189866726992</v>
      </c>
      <c r="AN473" s="286">
        <f t="shared" si="620"/>
        <v>0.58075531623902177</v>
      </c>
      <c r="AO473" s="286">
        <f t="shared" si="620"/>
        <v>0.44811047589798375</v>
      </c>
      <c r="AP473" s="286">
        <f t="shared" si="620"/>
        <v>0.51065335617645435</v>
      </c>
      <c r="AQ473" s="286">
        <f t="shared" si="620"/>
        <v>0.55320590343918397</v>
      </c>
    </row>
    <row r="474" spans="1:43" ht="15.6">
      <c r="A474" s="513" t="s">
        <v>25</v>
      </c>
      <c r="B474" s="510"/>
      <c r="C474" s="510"/>
      <c r="D474" s="510"/>
      <c r="E474" s="510"/>
      <c r="F474" s="510"/>
      <c r="G474" s="510"/>
      <c r="H474" s="510"/>
      <c r="I474" s="510"/>
      <c r="J474" s="517">
        <v>0</v>
      </c>
      <c r="K474" s="517">
        <v>9714.7000000000007</v>
      </c>
      <c r="L474" s="517">
        <v>152.69999999999999</v>
      </c>
      <c r="M474" s="517">
        <v>34.1</v>
      </c>
      <c r="N474" s="517">
        <v>1859.2</v>
      </c>
      <c r="O474" s="517">
        <v>5381.4</v>
      </c>
      <c r="P474" s="511">
        <f t="shared" ref="P474:P479" si="621">SUM(J474:O474)</f>
        <v>17142.100000000002</v>
      </c>
      <c r="Q474" s="2"/>
      <c r="R474" s="201">
        <v>0</v>
      </c>
      <c r="S474" s="201">
        <v>5.67</v>
      </c>
      <c r="T474" s="201">
        <v>7.0490000000000004</v>
      </c>
      <c r="U474" s="201">
        <v>6.4770000000000003</v>
      </c>
      <c r="V474" s="201">
        <v>7.452</v>
      </c>
      <c r="W474" s="201">
        <v>7.0449999999999999</v>
      </c>
      <c r="X474" s="236">
        <v>6.3090000000000002</v>
      </c>
      <c r="Y474" s="177"/>
      <c r="Z474" s="199">
        <f>AA474*AB474</f>
        <v>417.6754858848069</v>
      </c>
      <c r="AA474" s="237">
        <v>2.1656654145074601</v>
      </c>
      <c r="AB474" s="237">
        <v>192.86242606399998</v>
      </c>
      <c r="AC474" s="216" t="s">
        <v>154</v>
      </c>
      <c r="AD474" s="388"/>
      <c r="AE474" s="216"/>
      <c r="AF474" s="215"/>
      <c r="AG474" s="237"/>
      <c r="AH474" s="237"/>
      <c r="AJ474" s="10" t="s">
        <v>25</v>
      </c>
      <c r="AK474" s="56" t="str">
        <f t="shared" si="620"/>
        <v/>
      </c>
      <c r="AL474" s="56">
        <f t="shared" si="620"/>
        <v>0.634920634920635</v>
      </c>
      <c r="AM474" s="56">
        <f t="shared" si="620"/>
        <v>0.51071073911193077</v>
      </c>
      <c r="AN474" s="56">
        <f t="shared" si="620"/>
        <v>0.55581287633163501</v>
      </c>
      <c r="AO474" s="56">
        <f t="shared" si="620"/>
        <v>0.48309178743961351</v>
      </c>
      <c r="AP474" s="56">
        <f t="shared" si="620"/>
        <v>0.51100070972320799</v>
      </c>
      <c r="AQ474" s="286">
        <f t="shared" si="620"/>
        <v>0.57063024347946756</v>
      </c>
    </row>
    <row r="475" spans="1:43" ht="15.6">
      <c r="A475" s="513" t="s">
        <v>26</v>
      </c>
      <c r="B475" s="510"/>
      <c r="C475" s="510"/>
      <c r="D475" s="510"/>
      <c r="E475" s="510"/>
      <c r="F475" s="510"/>
      <c r="G475" s="510"/>
      <c r="H475" s="510"/>
      <c r="I475" s="510"/>
      <c r="J475" s="517">
        <v>0</v>
      </c>
      <c r="K475" s="517">
        <v>4597.8</v>
      </c>
      <c r="L475" s="517">
        <v>0</v>
      </c>
      <c r="M475" s="517">
        <v>338.9</v>
      </c>
      <c r="N475" s="517">
        <v>18.5</v>
      </c>
      <c r="O475" s="517">
        <v>4.0999999999999996</v>
      </c>
      <c r="P475" s="511">
        <f t="shared" si="621"/>
        <v>4959.3</v>
      </c>
      <c r="Q475" s="2"/>
      <c r="R475" s="201">
        <v>0</v>
      </c>
      <c r="S475" s="201">
        <v>6.0650000000000004</v>
      </c>
      <c r="T475" s="201">
        <v>4.8730000000000002</v>
      </c>
      <c r="U475" s="201">
        <v>4.9710000000000001</v>
      </c>
      <c r="V475" s="201">
        <v>9.3160000000000007</v>
      </c>
      <c r="W475" s="201">
        <v>6.49</v>
      </c>
      <c r="X475" s="236">
        <v>6.0019999999999998</v>
      </c>
      <c r="Y475" s="177"/>
      <c r="Z475" s="199">
        <f>AA475*AB475</f>
        <v>89241.464153553708</v>
      </c>
      <c r="AA475" s="237">
        <v>356.56331656417501</v>
      </c>
      <c r="AB475" s="237">
        <v>250.28223602326699</v>
      </c>
      <c r="AC475" s="216" t="s">
        <v>155</v>
      </c>
      <c r="AD475" s="388"/>
      <c r="AE475" s="216"/>
      <c r="AF475" s="215"/>
      <c r="AG475" s="237"/>
      <c r="AH475" s="237"/>
      <c r="AJ475" s="10" t="s">
        <v>26</v>
      </c>
      <c r="AK475" s="56" t="str">
        <f t="shared" si="620"/>
        <v/>
      </c>
      <c r="AL475" s="56">
        <f t="shared" si="620"/>
        <v>0.59356966199505357</v>
      </c>
      <c r="AM475" s="56" t="str">
        <f t="shared" si="620"/>
        <v/>
      </c>
      <c r="AN475" s="56">
        <f t="shared" si="620"/>
        <v>0.72420036210018113</v>
      </c>
      <c r="AO475" s="56">
        <f t="shared" si="620"/>
        <v>0.38643194504079009</v>
      </c>
      <c r="AP475" s="56">
        <f t="shared" si="620"/>
        <v>0.55469953775038527</v>
      </c>
      <c r="AQ475" s="286">
        <f t="shared" si="620"/>
        <v>0.59972823195790737</v>
      </c>
    </row>
    <row r="476" spans="1:43" ht="15.6">
      <c r="A476" s="513" t="s">
        <v>27</v>
      </c>
      <c r="B476" s="510"/>
      <c r="C476" s="510"/>
      <c r="D476" s="510"/>
      <c r="E476" s="510"/>
      <c r="F476" s="510"/>
      <c r="G476" s="510"/>
      <c r="H476" s="510"/>
      <c r="I476" s="510"/>
      <c r="J476" s="517">
        <v>124.62</v>
      </c>
      <c r="K476" s="517">
        <v>65495.31</v>
      </c>
      <c r="L476" s="517">
        <v>1400.41</v>
      </c>
      <c r="M476" s="517">
        <v>1410.12</v>
      </c>
      <c r="N476" s="517">
        <v>7330.52</v>
      </c>
      <c r="O476" s="517">
        <v>26.52</v>
      </c>
      <c r="P476" s="511">
        <f t="shared" si="621"/>
        <v>75787.5</v>
      </c>
      <c r="Q476" s="2"/>
      <c r="R476" s="201">
        <v>4.3959999999999999</v>
      </c>
      <c r="S476" s="201">
        <v>6.1950000000000003</v>
      </c>
      <c r="T476" s="201">
        <v>8.9</v>
      </c>
      <c r="U476" s="201">
        <v>6.5129999999999999</v>
      </c>
      <c r="V476" s="201">
        <v>6.2480000000000002</v>
      </c>
      <c r="W476" s="201">
        <v>7.423</v>
      </c>
      <c r="X476" s="236">
        <v>6.2539999999999996</v>
      </c>
      <c r="Y476" s="177"/>
      <c r="Z476" s="199">
        <f>AA476*AB476</f>
        <v>8377.042320016224</v>
      </c>
      <c r="AA476" s="237">
        <v>190.35219265860999</v>
      </c>
      <c r="AB476" s="237">
        <v>44.008120962599875</v>
      </c>
      <c r="AC476" s="216" t="s">
        <v>156</v>
      </c>
      <c r="AD476" s="388"/>
      <c r="AE476" s="216"/>
      <c r="AF476" s="215"/>
      <c r="AG476" s="237"/>
      <c r="AH476" s="237"/>
      <c r="AJ476" s="10" t="s">
        <v>27</v>
      </c>
      <c r="AK476" s="56">
        <f t="shared" si="620"/>
        <v>0.81892629663330296</v>
      </c>
      <c r="AL476" s="56">
        <f t="shared" si="620"/>
        <v>0.58111380145278457</v>
      </c>
      <c r="AM476" s="56">
        <f t="shared" si="620"/>
        <v>0.4044943820224719</v>
      </c>
      <c r="AN476" s="56">
        <f t="shared" si="620"/>
        <v>0.55274067250115155</v>
      </c>
      <c r="AO476" s="56">
        <f t="shared" si="620"/>
        <v>0.5761843790012805</v>
      </c>
      <c r="AP476" s="56">
        <f t="shared" si="620"/>
        <v>0.48497911895460055</v>
      </c>
      <c r="AQ476" s="286">
        <f t="shared" si="620"/>
        <v>0.57567780127558177</v>
      </c>
    </row>
    <row r="477" spans="1:43" ht="15.6">
      <c r="A477" s="513" t="s">
        <v>28</v>
      </c>
      <c r="B477" s="510"/>
      <c r="C477" s="510"/>
      <c r="D477" s="510"/>
      <c r="E477" s="510"/>
      <c r="F477" s="510"/>
      <c r="G477" s="510"/>
      <c r="H477" s="510"/>
      <c r="I477" s="510"/>
      <c r="J477" s="517">
        <v>12.22</v>
      </c>
      <c r="K477" s="517">
        <v>639.13</v>
      </c>
      <c r="L477" s="517">
        <v>0</v>
      </c>
      <c r="M477" s="517">
        <v>156.82</v>
      </c>
      <c r="N477" s="517">
        <v>644.32000000000005</v>
      </c>
      <c r="O477" s="517">
        <v>0</v>
      </c>
      <c r="P477" s="511">
        <f t="shared" si="621"/>
        <v>1452.4900000000002</v>
      </c>
      <c r="Q477" s="2"/>
      <c r="R477" s="201">
        <v>5.024</v>
      </c>
      <c r="S477" s="201">
        <v>4.9859999999999998</v>
      </c>
      <c r="T477" s="201">
        <v>0</v>
      </c>
      <c r="U477" s="201">
        <v>4.7560000000000002</v>
      </c>
      <c r="V477" s="201">
        <v>6.0990000000000002</v>
      </c>
      <c r="W477" s="201">
        <v>0</v>
      </c>
      <c r="X477" s="236">
        <v>5.4550000000000001</v>
      </c>
      <c r="Y477" s="177"/>
      <c r="Z477" s="199">
        <f>AA477*AB477</f>
        <v>396.2407439638323</v>
      </c>
      <c r="AA477" s="237">
        <v>7.0631148656654599</v>
      </c>
      <c r="AB477" s="237">
        <v>56.1</v>
      </c>
      <c r="AC477" s="217" t="s">
        <v>220</v>
      </c>
      <c r="AD477" s="388"/>
      <c r="AE477" s="223"/>
      <c r="AF477" s="240"/>
      <c r="AG477" s="240"/>
      <c r="AH477" s="240"/>
      <c r="AJ477" s="10" t="s">
        <v>28</v>
      </c>
      <c r="AK477" s="56">
        <f t="shared" si="620"/>
        <v>0.71656050955414019</v>
      </c>
      <c r="AL477" s="56">
        <f t="shared" si="620"/>
        <v>0.72202166064981954</v>
      </c>
      <c r="AM477" s="56" t="str">
        <f t="shared" si="620"/>
        <v/>
      </c>
      <c r="AN477" s="56">
        <f t="shared" si="620"/>
        <v>0.7569386038687973</v>
      </c>
      <c r="AO477" s="56">
        <f t="shared" si="620"/>
        <v>0.59026069847515983</v>
      </c>
      <c r="AP477" s="56" t="str">
        <f t="shared" si="620"/>
        <v/>
      </c>
      <c r="AQ477" s="286">
        <f t="shared" si="620"/>
        <v>0.65991950925639475</v>
      </c>
    </row>
    <row r="478" spans="1:43" ht="15.6">
      <c r="A478" s="513" t="s">
        <v>29</v>
      </c>
      <c r="B478" s="510"/>
      <c r="C478" s="510"/>
      <c r="D478" s="510"/>
      <c r="E478" s="510"/>
      <c r="F478" s="510"/>
      <c r="G478" s="510"/>
      <c r="H478" s="510"/>
      <c r="I478" s="510"/>
      <c r="J478" s="517">
        <v>0</v>
      </c>
      <c r="K478" s="517">
        <v>676.4</v>
      </c>
      <c r="L478" s="517">
        <v>939.3</v>
      </c>
      <c r="M478" s="517">
        <v>195.9</v>
      </c>
      <c r="N478" s="517">
        <v>3761</v>
      </c>
      <c r="O478" s="517">
        <v>6.74</v>
      </c>
      <c r="P478" s="511">
        <f t="shared" si="621"/>
        <v>5579.34</v>
      </c>
      <c r="Q478" s="2"/>
      <c r="R478" s="201">
        <v>0</v>
      </c>
      <c r="S478" s="201">
        <v>9.5039999999999996</v>
      </c>
      <c r="T478" s="201">
        <v>10.103</v>
      </c>
      <c r="U478" s="201">
        <v>7.1680000000000001</v>
      </c>
      <c r="V478" s="201">
        <v>12.127000000000001</v>
      </c>
      <c r="W478" s="201">
        <v>9.7479999999999993</v>
      </c>
      <c r="X478" s="236">
        <v>11.291</v>
      </c>
      <c r="Y478" s="177"/>
      <c r="AA478" s="470" t="s">
        <v>238</v>
      </c>
      <c r="AB478" s="388"/>
      <c r="AC478" s="451"/>
      <c r="AD478" s="388"/>
      <c r="AJ478" s="10" t="s">
        <v>29</v>
      </c>
      <c r="AK478" s="56" t="str">
        <f t="shared" si="620"/>
        <v/>
      </c>
      <c r="AL478" s="56">
        <f t="shared" si="620"/>
        <v>0.37878787878787878</v>
      </c>
      <c r="AM478" s="56">
        <f t="shared" si="620"/>
        <v>0.3563298030288034</v>
      </c>
      <c r="AN478" s="56">
        <f t="shared" si="620"/>
        <v>0.5022321428571429</v>
      </c>
      <c r="AO478" s="56">
        <f t="shared" si="620"/>
        <v>0.29685825018553641</v>
      </c>
      <c r="AP478" s="56">
        <f t="shared" si="620"/>
        <v>0.36930652441526468</v>
      </c>
      <c r="AQ478" s="286">
        <f t="shared" si="620"/>
        <v>0.31883049543096498</v>
      </c>
    </row>
    <row r="479" spans="1:43" ht="15.6">
      <c r="A479" s="513" t="s">
        <v>389</v>
      </c>
      <c r="B479" s="510"/>
      <c r="C479" s="510"/>
      <c r="D479" s="510"/>
      <c r="E479" s="510"/>
      <c r="F479" s="510"/>
      <c r="G479" s="510"/>
      <c r="H479" s="510"/>
      <c r="I479" s="510"/>
      <c r="J479" s="517">
        <v>0</v>
      </c>
      <c r="K479" s="517">
        <v>0</v>
      </c>
      <c r="L479" s="517">
        <v>0</v>
      </c>
      <c r="M479" s="517">
        <v>0</v>
      </c>
      <c r="N479" s="517">
        <v>0</v>
      </c>
      <c r="O479" s="517">
        <v>0</v>
      </c>
      <c r="P479" s="511">
        <f t="shared" si="621"/>
        <v>0</v>
      </c>
      <c r="Q479" s="2"/>
      <c r="R479" s="201">
        <v>0</v>
      </c>
      <c r="S479" s="201">
        <v>8.7720000000000002</v>
      </c>
      <c r="T479" s="201">
        <v>0</v>
      </c>
      <c r="U479" s="201">
        <v>10.08</v>
      </c>
      <c r="V479" s="201">
        <v>0</v>
      </c>
      <c r="W479" s="201">
        <v>0</v>
      </c>
      <c r="X479" s="236">
        <v>8.7829999999999995</v>
      </c>
      <c r="Y479" s="177"/>
      <c r="Z479" s="199">
        <f t="shared" ref="Z479:Z485" si="622">AA479*AB479</f>
        <v>1.7716096276989897</v>
      </c>
      <c r="AA479" s="237">
        <v>2.4777757030755101E-2</v>
      </c>
      <c r="AB479" s="237">
        <v>71.5</v>
      </c>
      <c r="AC479" s="216" t="s">
        <v>66</v>
      </c>
      <c r="AD479" s="388"/>
      <c r="AE479" s="216"/>
      <c r="AF479" s="237"/>
      <c r="AG479" s="237"/>
      <c r="AH479" s="237"/>
      <c r="AJ479" s="10" t="s">
        <v>389</v>
      </c>
      <c r="AK479" s="56" t="str">
        <f t="shared" si="620"/>
        <v/>
      </c>
      <c r="AL479" s="56" t="str">
        <f t="shared" si="620"/>
        <v/>
      </c>
      <c r="AM479" s="56" t="str">
        <f t="shared" si="620"/>
        <v/>
      </c>
      <c r="AN479" s="56" t="str">
        <f t="shared" si="620"/>
        <v/>
      </c>
      <c r="AO479" s="56" t="str">
        <f t="shared" si="620"/>
        <v/>
      </c>
      <c r="AP479" s="56" t="str">
        <f t="shared" si="620"/>
        <v/>
      </c>
      <c r="AQ479" s="286" t="str">
        <f t="shared" si="620"/>
        <v/>
      </c>
    </row>
    <row r="480" spans="1:43" ht="15.6">
      <c r="A480" s="11" t="s">
        <v>10</v>
      </c>
      <c r="J480" s="209">
        <f t="shared" ref="J480:P480" si="623">J466+J473</f>
        <v>28469.86</v>
      </c>
      <c r="K480" s="209">
        <f t="shared" si="623"/>
        <v>128537.57999999999</v>
      </c>
      <c r="L480" s="209">
        <f t="shared" si="623"/>
        <v>2520.19</v>
      </c>
      <c r="M480" s="209">
        <f t="shared" si="623"/>
        <v>3288.7799999999997</v>
      </c>
      <c r="N480" s="209">
        <f t="shared" si="623"/>
        <v>20927.300000000003</v>
      </c>
      <c r="O480" s="209">
        <f t="shared" si="623"/>
        <v>8385.19</v>
      </c>
      <c r="P480" s="209">
        <f t="shared" si="623"/>
        <v>192128.9</v>
      </c>
      <c r="Q480" s="2"/>
      <c r="R480" s="236">
        <v>9.375</v>
      </c>
      <c r="S480" s="236">
        <v>6.3869999999999996</v>
      </c>
      <c r="T480" s="236">
        <v>9.2390000000000008</v>
      </c>
      <c r="U480" s="236">
        <v>7.78</v>
      </c>
      <c r="V480" s="236">
        <v>9.1709999999999994</v>
      </c>
      <c r="W480" s="236">
        <v>8.0180000000000007</v>
      </c>
      <c r="X480" s="236">
        <v>7.266</v>
      </c>
      <c r="Y480" s="177"/>
      <c r="Z480" s="199">
        <f t="shared" si="622"/>
        <v>0</v>
      </c>
      <c r="AA480" s="237">
        <v>0</v>
      </c>
      <c r="AB480" s="237">
        <v>97.286951941375108</v>
      </c>
      <c r="AC480" s="216" t="s">
        <v>67</v>
      </c>
      <c r="AD480" s="388"/>
      <c r="AE480" s="216"/>
      <c r="AF480" s="237"/>
      <c r="AG480" s="237"/>
      <c r="AH480" s="237"/>
      <c r="AJ480" s="11" t="s">
        <v>10</v>
      </c>
      <c r="AK480" s="286">
        <f t="shared" si="620"/>
        <v>0.38399087836400086</v>
      </c>
      <c r="AL480" s="286">
        <f t="shared" si="620"/>
        <v>0.56364885423252753</v>
      </c>
      <c r="AM480" s="286">
        <f t="shared" si="620"/>
        <v>0.38964906913018099</v>
      </c>
      <c r="AN480" s="286">
        <f t="shared" si="620"/>
        <v>0.46272690442866105</v>
      </c>
      <c r="AO480" s="286">
        <f t="shared" si="620"/>
        <v>0.39252910966064464</v>
      </c>
      <c r="AP480" s="286">
        <f t="shared" si="620"/>
        <v>0.44901503801731968</v>
      </c>
      <c r="AQ480" s="286">
        <f t="shared" si="620"/>
        <v>0.49549506979407365</v>
      </c>
    </row>
    <row r="481" spans="1:43">
      <c r="J481" s="177">
        <f t="shared" ref="J481:P481" si="624">J473/11.63</f>
        <v>11.766122098022356</v>
      </c>
      <c r="K481" s="177">
        <f t="shared" si="624"/>
        <v>6975.3516766981938</v>
      </c>
      <c r="L481" s="177">
        <f t="shared" si="624"/>
        <v>214.30868443680134</v>
      </c>
      <c r="M481" s="177">
        <f t="shared" si="624"/>
        <v>183.64918314703348</v>
      </c>
      <c r="N481" s="177">
        <f t="shared" si="624"/>
        <v>1170.5537403267413</v>
      </c>
      <c r="O481" s="177">
        <f t="shared" si="624"/>
        <v>465.92949269131555</v>
      </c>
      <c r="P481" s="177">
        <f t="shared" si="624"/>
        <v>9021.5588993981073</v>
      </c>
      <c r="Y481" s="177"/>
      <c r="Z481" s="199">
        <f t="shared" si="622"/>
        <v>170.62171803501212</v>
      </c>
      <c r="AA481" s="237">
        <v>2.7039891923139798</v>
      </c>
      <c r="AB481" s="237">
        <v>63.1</v>
      </c>
      <c r="AC481" s="216" t="s">
        <v>69</v>
      </c>
      <c r="AD481" s="388"/>
      <c r="AE481" s="216"/>
      <c r="AF481" s="237"/>
      <c r="AG481" s="237"/>
      <c r="AH481" s="237"/>
    </row>
    <row r="482" spans="1:43">
      <c r="J482" s="56"/>
      <c r="K482" s="56">
        <f>SUM(K473:M473)/SUM(K480:M480)</f>
        <v>0.63828650605467729</v>
      </c>
      <c r="L482" s="56"/>
      <c r="M482" s="56"/>
      <c r="N482" s="56">
        <f>N473/N480</f>
        <v>0.65051583338509977</v>
      </c>
      <c r="O482" s="56">
        <f>O473/O480</f>
        <v>0.64622984094576275</v>
      </c>
      <c r="Y482" s="177"/>
      <c r="Z482" s="199">
        <f t="shared" si="622"/>
        <v>16441.770558888795</v>
      </c>
      <c r="AA482" s="237">
        <v>281.899110375107</v>
      </c>
      <c r="AB482" s="237">
        <v>58.325017546208898</v>
      </c>
      <c r="AC482" s="216" t="s">
        <v>70</v>
      </c>
      <c r="AD482" s="388"/>
      <c r="AE482" s="216"/>
      <c r="AF482" s="237"/>
      <c r="AG482" s="237"/>
      <c r="AH482" s="237"/>
      <c r="AJ482" s="68"/>
    </row>
    <row r="483" spans="1:43">
      <c r="J483" s="68" t="s">
        <v>189</v>
      </c>
      <c r="K483" s="56">
        <f>(SUM(K492:M492)/41.868)/SUM(K517:M517)</f>
        <v>0.7518106545492651</v>
      </c>
      <c r="L483" s="56"/>
      <c r="M483" s="56"/>
      <c r="N483" s="56">
        <f>(N492/41.868)/N517</f>
        <v>0.67487172920288896</v>
      </c>
      <c r="O483" s="56">
        <f>(O492/41.868)/O517</f>
        <v>0.7904516590596431</v>
      </c>
      <c r="Y483" s="177"/>
      <c r="Z483" s="199">
        <f t="shared" si="622"/>
        <v>6649.5689826941643</v>
      </c>
      <c r="AA483" s="237">
        <v>89.737773045805199</v>
      </c>
      <c r="AB483" s="237">
        <v>74.099999999999994</v>
      </c>
      <c r="AC483" s="216" t="s">
        <v>71</v>
      </c>
      <c r="AD483" s="388"/>
      <c r="AE483" s="216"/>
      <c r="AF483" s="237"/>
      <c r="AG483" s="237"/>
      <c r="AH483" s="237"/>
      <c r="AJ483" s="68"/>
    </row>
    <row r="484" spans="1:43">
      <c r="A484" s="68" t="str">
        <f>$A$464</f>
        <v>Dati 2018 lorda</v>
      </c>
      <c r="J484" s="210" t="s">
        <v>5</v>
      </c>
      <c r="K484" s="210" t="s">
        <v>210</v>
      </c>
      <c r="L484" s="210" t="s">
        <v>211</v>
      </c>
      <c r="M484" s="210" t="s">
        <v>214</v>
      </c>
      <c r="N484" s="210" t="s">
        <v>216</v>
      </c>
      <c r="O484" s="210" t="s">
        <v>215</v>
      </c>
      <c r="P484" s="210" t="s">
        <v>213</v>
      </c>
      <c r="R484" s="68" t="s">
        <v>234</v>
      </c>
      <c r="Y484" s="177"/>
      <c r="Z484" s="199">
        <f t="shared" si="622"/>
        <v>0</v>
      </c>
      <c r="AA484" s="237">
        <v>0</v>
      </c>
      <c r="AB484" s="237">
        <v>74.099999999999994</v>
      </c>
      <c r="AC484" s="216" t="s">
        <v>72</v>
      </c>
      <c r="AD484" s="388"/>
      <c r="AE484" s="216"/>
      <c r="AF484" s="237"/>
      <c r="AG484" s="237"/>
      <c r="AH484" s="237"/>
      <c r="AJ484" s="68"/>
    </row>
    <row r="485" spans="1:43">
      <c r="A485" s="11" t="s">
        <v>17</v>
      </c>
      <c r="J485" s="209">
        <f t="shared" ref="J485:O485" si="625">SUM(J486:J490)</f>
        <v>266302.05497999996</v>
      </c>
      <c r="K485" s="209">
        <f t="shared" si="625"/>
        <v>322637.11018999998</v>
      </c>
      <c r="L485" s="209">
        <f t="shared" si="625"/>
        <v>254.46480000000003</v>
      </c>
      <c r="M485" s="209">
        <f t="shared" si="625"/>
        <v>12346.903259999999</v>
      </c>
      <c r="N485" s="209">
        <f t="shared" si="625"/>
        <v>82562.879910000003</v>
      </c>
      <c r="O485" s="209">
        <f t="shared" si="625"/>
        <v>29027.538930000002</v>
      </c>
      <c r="P485" s="212">
        <f t="shared" ref="P485:P490" si="626">SUM(J485:O485)</f>
        <v>713130.95207</v>
      </c>
      <c r="Q485" s="202"/>
      <c r="R485" s="209">
        <f t="shared" ref="R485:W485" si="627">SUM(R486:R490)</f>
        <v>25.122846319568144</v>
      </c>
      <c r="S485" s="209">
        <f t="shared" si="627"/>
        <v>18.656606341728402</v>
      </c>
      <c r="T485" s="209">
        <f t="shared" si="627"/>
        <v>4.5038712114991872E-2</v>
      </c>
      <c r="U485" s="209">
        <f t="shared" si="627"/>
        <v>0.83678275491903797</v>
      </c>
      <c r="V485" s="209">
        <f t="shared" si="627"/>
        <v>3.4640921420513049</v>
      </c>
      <c r="W485" s="209">
        <f t="shared" si="627"/>
        <v>3.2198077489686651E-2</v>
      </c>
      <c r="X485" s="220">
        <f>SUM(R485:W485)</f>
        <v>48.15756434787157</v>
      </c>
      <c r="Y485" s="177"/>
      <c r="Z485" s="199">
        <f t="shared" si="622"/>
        <v>18158.4906260272</v>
      </c>
      <c r="AA485" s="235">
        <v>236.77682838602072</v>
      </c>
      <c r="AB485" s="214">
        <v>76.690319529169244</v>
      </c>
      <c r="AC485" s="233" t="s">
        <v>73</v>
      </c>
      <c r="AD485" s="388"/>
      <c r="AJ485" s="68"/>
    </row>
    <row r="486" spans="1:43">
      <c r="A486" s="10" t="s">
        <v>18</v>
      </c>
      <c r="J486" s="197">
        <f t="shared" ref="J486:O489" si="628">IFERROR(J467*R467,"")</f>
        <v>0</v>
      </c>
      <c r="K486" s="197">
        <f t="shared" si="628"/>
        <v>2520.9827500000001</v>
      </c>
      <c r="L486" s="197">
        <f t="shared" si="628"/>
        <v>254.46480000000003</v>
      </c>
      <c r="M486" s="197">
        <f t="shared" si="628"/>
        <v>1855.8841</v>
      </c>
      <c r="N486" s="197">
        <f t="shared" si="628"/>
        <v>11653.922729999998</v>
      </c>
      <c r="O486" s="197">
        <f t="shared" si="628"/>
        <v>28522.472500000003</v>
      </c>
      <c r="P486" s="212">
        <f t="shared" si="626"/>
        <v>44807.726880000002</v>
      </c>
      <c r="Q486" s="202"/>
      <c r="R486" s="211">
        <f t="shared" ref="R486:R491" si="629">J486*J$502/1000000</f>
        <v>0</v>
      </c>
      <c r="S486" s="211">
        <f t="shared" ref="S486:S491" si="630">K486*K$502/1000000</f>
        <v>0.14577672956883458</v>
      </c>
      <c r="T486" s="211">
        <f t="shared" ref="T486:T491" si="631">L486*L$502/1000000</f>
        <v>4.5038712114991872E-2</v>
      </c>
      <c r="U486" s="211">
        <f t="shared" ref="U486:U491" si="632">M486*M$502/1000000</f>
        <v>0.12577824392935588</v>
      </c>
      <c r="V486" s="211">
        <f t="shared" ref="V486:V491" si="633">N486*N$502/1000000</f>
        <v>0.48896383213706723</v>
      </c>
      <c r="W486" s="211">
        <f t="shared" ref="W486:W491" si="634">O486*O$502/1000000</f>
        <v>3.1637845081083374E-2</v>
      </c>
      <c r="X486" s="220">
        <f t="shared" ref="X486:X491" si="635">SUM(R486:W486)</f>
        <v>0.837195362831333</v>
      </c>
      <c r="Y486" s="177"/>
      <c r="Z486" s="199"/>
      <c r="AA486" s="470" t="s">
        <v>239</v>
      </c>
      <c r="AB486" s="388"/>
      <c r="AC486" s="451"/>
      <c r="AD486" s="388"/>
      <c r="AJ486" s="68"/>
      <c r="AQ486" s="282"/>
    </row>
    <row r="487" spans="1:43">
      <c r="A487" s="10" t="s">
        <v>19</v>
      </c>
      <c r="J487" s="197">
        <f t="shared" si="628"/>
        <v>0</v>
      </c>
      <c r="K487" s="197">
        <f t="shared" si="628"/>
        <v>2802.7662399999995</v>
      </c>
      <c r="L487" s="197">
        <f t="shared" si="628"/>
        <v>0</v>
      </c>
      <c r="M487" s="197">
        <f t="shared" si="628"/>
        <v>135.15536</v>
      </c>
      <c r="N487" s="197">
        <f t="shared" si="628"/>
        <v>150.52692000000002</v>
      </c>
      <c r="O487" s="197">
        <f t="shared" si="628"/>
        <v>329.49609000000004</v>
      </c>
      <c r="P487" s="212">
        <f t="shared" si="626"/>
        <v>3417.94461</v>
      </c>
      <c r="Q487" s="202"/>
      <c r="R487" s="211">
        <f t="shared" si="629"/>
        <v>0</v>
      </c>
      <c r="S487" s="211">
        <f t="shared" si="630"/>
        <v>0.16207096070496288</v>
      </c>
      <c r="T487" s="211">
        <f t="shared" si="631"/>
        <v>0</v>
      </c>
      <c r="U487" s="211">
        <f t="shared" si="632"/>
        <v>9.1598413060599571E-3</v>
      </c>
      <c r="V487" s="211">
        <f t="shared" si="633"/>
        <v>6.3156605160526727E-3</v>
      </c>
      <c r="W487" s="211">
        <f t="shared" si="634"/>
        <v>3.6548536422439199E-4</v>
      </c>
      <c r="X487" s="220">
        <f t="shared" si="635"/>
        <v>0.17791194789129991</v>
      </c>
      <c r="Y487" s="177"/>
      <c r="Z487" s="199">
        <f t="shared" ref="Z487:Z502" si="636">AA487*AB487</f>
        <v>0</v>
      </c>
      <c r="AA487" s="237">
        <v>0</v>
      </c>
      <c r="AB487" s="237">
        <v>63.1</v>
      </c>
      <c r="AC487" s="217" t="s">
        <v>219</v>
      </c>
      <c r="AD487" s="388"/>
      <c r="AE487" s="216"/>
      <c r="AF487" s="237"/>
      <c r="AG487" s="237"/>
      <c r="AH487" s="237"/>
      <c r="AJ487" s="68" t="s">
        <v>289</v>
      </c>
    </row>
    <row r="488" spans="1:43">
      <c r="A488" s="10" t="s">
        <v>20</v>
      </c>
      <c r="J488" s="197">
        <f t="shared" si="628"/>
        <v>266302.05497999996</v>
      </c>
      <c r="K488" s="197">
        <f t="shared" si="628"/>
        <v>2030.5626</v>
      </c>
      <c r="L488" s="197">
        <f t="shared" si="628"/>
        <v>0</v>
      </c>
      <c r="M488" s="197">
        <f t="shared" si="628"/>
        <v>10350.945</v>
      </c>
      <c r="N488" s="197">
        <f t="shared" si="628"/>
        <v>58204.912499999999</v>
      </c>
      <c r="O488" s="197">
        <f t="shared" si="628"/>
        <v>77.42398</v>
      </c>
      <c r="P488" s="212">
        <f t="shared" si="626"/>
        <v>336965.89905999997</v>
      </c>
      <c r="Q488" s="202"/>
      <c r="R488" s="211">
        <f t="shared" si="629"/>
        <v>25.122846319568144</v>
      </c>
      <c r="S488" s="211">
        <f t="shared" si="630"/>
        <v>0.11741800891449558</v>
      </c>
      <c r="T488" s="211">
        <f t="shared" si="631"/>
        <v>0</v>
      </c>
      <c r="U488" s="211">
        <f t="shared" si="632"/>
        <v>0.70151130941277351</v>
      </c>
      <c r="V488" s="211">
        <f t="shared" si="633"/>
        <v>2.4421044934457612</v>
      </c>
      <c r="W488" s="211">
        <f t="shared" si="634"/>
        <v>8.5880629205651704E-5</v>
      </c>
      <c r="X488" s="220">
        <f t="shared" si="635"/>
        <v>28.383966011970379</v>
      </c>
      <c r="Y488" s="177"/>
      <c r="Z488" s="199">
        <f t="shared" si="636"/>
        <v>462.470332162349</v>
      </c>
      <c r="AA488" s="237">
        <v>6.040207941297</v>
      </c>
      <c r="AB488" s="237">
        <v>76.565299846787028</v>
      </c>
      <c r="AC488" s="217" t="s">
        <v>222</v>
      </c>
      <c r="AD488" s="388"/>
      <c r="AE488" s="216"/>
      <c r="AF488" s="237"/>
      <c r="AG488" s="237"/>
      <c r="AH488" s="237"/>
    </row>
    <row r="489" spans="1:43">
      <c r="A489" s="10" t="s">
        <v>21</v>
      </c>
      <c r="J489" s="197">
        <f t="shared" si="628"/>
        <v>0</v>
      </c>
      <c r="K489" s="197">
        <f t="shared" si="628"/>
        <v>315282.79859999998</v>
      </c>
      <c r="L489" s="197">
        <f t="shared" si="628"/>
        <v>0</v>
      </c>
      <c r="M489" s="197">
        <f t="shared" si="628"/>
        <v>4.9188000000000001</v>
      </c>
      <c r="N489" s="197">
        <f t="shared" si="628"/>
        <v>12553.517760000001</v>
      </c>
      <c r="O489" s="197">
        <f t="shared" si="628"/>
        <v>98.146360000000001</v>
      </c>
      <c r="P489" s="212">
        <f t="shared" si="626"/>
        <v>327939.38152</v>
      </c>
      <c r="Q489" s="202"/>
      <c r="R489" s="211">
        <f t="shared" si="629"/>
        <v>0</v>
      </c>
      <c r="S489" s="211">
        <f t="shared" si="630"/>
        <v>18.231340642540108</v>
      </c>
      <c r="T489" s="211">
        <f t="shared" si="631"/>
        <v>0</v>
      </c>
      <c r="U489" s="211">
        <f t="shared" si="632"/>
        <v>3.3336027084865686E-4</v>
      </c>
      <c r="V489" s="211">
        <f t="shared" si="633"/>
        <v>0.5267081559524236</v>
      </c>
      <c r="W489" s="211">
        <f t="shared" si="634"/>
        <v>1.088664151732371E-4</v>
      </c>
      <c r="X489" s="220">
        <f t="shared" si="635"/>
        <v>18.75849102517855</v>
      </c>
      <c r="Y489" s="177"/>
      <c r="Z489" s="199">
        <f t="shared" si="636"/>
        <v>4813.707257496706</v>
      </c>
      <c r="AA489" s="237">
        <v>94.771300162874496</v>
      </c>
      <c r="AB489" s="237">
        <v>50.792879798249487</v>
      </c>
      <c r="AC489" s="217" t="s">
        <v>223</v>
      </c>
      <c r="AD489" s="388"/>
      <c r="AE489" s="216"/>
      <c r="AF489" s="237"/>
      <c r="AG489" s="237"/>
      <c r="AH489" s="237"/>
      <c r="AJ489" s="11" t="s">
        <v>24</v>
      </c>
      <c r="AK489" s="286">
        <f t="shared" ref="AK489:AQ494" si="637">IFERROR(((J473/11.63)+J510)/J517,"")</f>
        <v>0.87205580356855106</v>
      </c>
      <c r="AL489" s="286">
        <f t="shared" si="637"/>
        <v>0.65860959392184415</v>
      </c>
      <c r="AM489" s="286">
        <f t="shared" si="637"/>
        <v>0.44360248441475486</v>
      </c>
      <c r="AN489" s="286">
        <f t="shared" si="637"/>
        <v>0.7732525904934342</v>
      </c>
      <c r="AO489" s="286">
        <f t="shared" si="637"/>
        <v>0.58534041748093124</v>
      </c>
      <c r="AP489" s="286">
        <f t="shared" si="637"/>
        <v>0.58904053772096987</v>
      </c>
      <c r="AQ489" s="286">
        <f t="shared" si="637"/>
        <v>0.64090408491407458</v>
      </c>
    </row>
    <row r="490" spans="1:43">
      <c r="A490" s="10" t="s">
        <v>23</v>
      </c>
      <c r="J490" s="197">
        <f t="shared" ref="J490:O490" si="638">IFERROR(J471*R471,"")</f>
        <v>0</v>
      </c>
      <c r="K490" s="197">
        <f t="shared" si="638"/>
        <v>0</v>
      </c>
      <c r="L490" s="197">
        <f t="shared" si="638"/>
        <v>0</v>
      </c>
      <c r="M490" s="197">
        <f t="shared" si="638"/>
        <v>0</v>
      </c>
      <c r="N490" s="197">
        <f t="shared" si="638"/>
        <v>0</v>
      </c>
      <c r="O490" s="197">
        <f t="shared" si="638"/>
        <v>0</v>
      </c>
      <c r="P490" s="212">
        <f t="shared" si="626"/>
        <v>0</v>
      </c>
      <c r="Q490" s="202"/>
      <c r="R490" s="211">
        <f t="shared" si="629"/>
        <v>0</v>
      </c>
      <c r="S490" s="211">
        <f t="shared" si="630"/>
        <v>0</v>
      </c>
      <c r="T490" s="211">
        <f t="shared" si="631"/>
        <v>0</v>
      </c>
      <c r="U490" s="211">
        <f t="shared" si="632"/>
        <v>0</v>
      </c>
      <c r="V490" s="211">
        <f t="shared" si="633"/>
        <v>0</v>
      </c>
      <c r="W490" s="211">
        <f t="shared" si="634"/>
        <v>0</v>
      </c>
      <c r="X490" s="220">
        <f t="shared" si="635"/>
        <v>0</v>
      </c>
      <c r="Y490" s="177"/>
      <c r="Z490" s="199">
        <f t="shared" si="636"/>
        <v>94858.540824196563</v>
      </c>
      <c r="AA490" s="237">
        <v>1063.09862819871</v>
      </c>
      <c r="AB490" s="471">
        <v>89.228354085004042</v>
      </c>
      <c r="AC490" s="217" t="s">
        <v>236</v>
      </c>
      <c r="AD490" s="388"/>
      <c r="AE490" s="216"/>
      <c r="AF490" s="237"/>
      <c r="AG490" s="237"/>
      <c r="AH490" s="237"/>
      <c r="AJ490" s="10" t="s">
        <v>25</v>
      </c>
      <c r="AK490" s="56" t="str">
        <f t="shared" si="637"/>
        <v/>
      </c>
      <c r="AL490" s="56">
        <f t="shared" si="637"/>
        <v>0.72981142039219671</v>
      </c>
      <c r="AM490" s="56">
        <f t="shared" si="637"/>
        <v>0.61275026226390994</v>
      </c>
      <c r="AN490" s="56">
        <f t="shared" si="637"/>
        <v>0.69061111168664335</v>
      </c>
      <c r="AO490" s="56">
        <f t="shared" si="637"/>
        <v>0.65584430859968879</v>
      </c>
      <c r="AP490" s="56">
        <f t="shared" si="637"/>
        <v>0.58867737811218113</v>
      </c>
      <c r="AQ490" s="286">
        <f t="shared" si="637"/>
        <v>0.67540867172773611</v>
      </c>
    </row>
    <row r="491" spans="1:43">
      <c r="A491" s="10" t="s">
        <v>387</v>
      </c>
      <c r="J491" s="197"/>
      <c r="K491" s="197"/>
      <c r="L491" s="197"/>
      <c r="M491" s="197"/>
      <c r="N491" s="197"/>
      <c r="O491" s="197"/>
      <c r="P491" s="212"/>
      <c r="Q491" s="202"/>
      <c r="R491" s="211">
        <f t="shared" si="629"/>
        <v>0</v>
      </c>
      <c r="S491" s="211">
        <f t="shared" si="630"/>
        <v>0</v>
      </c>
      <c r="T491" s="211">
        <f t="shared" si="631"/>
        <v>0</v>
      </c>
      <c r="U491" s="211">
        <f t="shared" si="632"/>
        <v>0</v>
      </c>
      <c r="V491" s="211">
        <f t="shared" si="633"/>
        <v>0</v>
      </c>
      <c r="W491" s="211">
        <f t="shared" si="634"/>
        <v>0</v>
      </c>
      <c r="X491" s="220">
        <f t="shared" si="635"/>
        <v>0</v>
      </c>
      <c r="Y491" s="177"/>
      <c r="Z491" s="199">
        <f t="shared" si="636"/>
        <v>0</v>
      </c>
      <c r="AA491" s="237">
        <v>140.572001787315</v>
      </c>
      <c r="AB491" s="451">
        <v>0</v>
      </c>
      <c r="AC491" s="216" t="s">
        <v>224</v>
      </c>
      <c r="AD491" s="388"/>
      <c r="AJ491" s="10" t="s">
        <v>26</v>
      </c>
      <c r="AK491" s="56" t="str">
        <f t="shared" si="637"/>
        <v/>
      </c>
      <c r="AL491" s="56">
        <f t="shared" si="637"/>
        <v>0.73539197727017835</v>
      </c>
      <c r="AM491" s="56" t="str">
        <f t="shared" si="637"/>
        <v/>
      </c>
      <c r="AN491" s="56">
        <f t="shared" si="637"/>
        <v>0.82358247567839526</v>
      </c>
      <c r="AO491" s="56">
        <f t="shared" si="637"/>
        <v>0.74219383368136593</v>
      </c>
      <c r="AP491" s="56">
        <f t="shared" si="637"/>
        <v>0.7104471195184866</v>
      </c>
      <c r="AQ491" s="286">
        <f t="shared" si="637"/>
        <v>0.74140907629090191</v>
      </c>
    </row>
    <row r="492" spans="1:43">
      <c r="A492" s="509" t="s">
        <v>24</v>
      </c>
      <c r="B492" s="510"/>
      <c r="C492" s="510"/>
      <c r="D492" s="510"/>
      <c r="E492" s="510"/>
      <c r="F492" s="510"/>
      <c r="G492" s="510"/>
      <c r="H492" s="510"/>
      <c r="I492" s="510"/>
      <c r="J492" s="511">
        <f t="shared" ref="J492:O492" si="639">SUM(J493:J497)</f>
        <v>609.22280000000001</v>
      </c>
      <c r="K492" s="511">
        <f t="shared" si="639"/>
        <v>498326.65922999999</v>
      </c>
      <c r="L492" s="511">
        <f t="shared" si="639"/>
        <v>23029.779199999997</v>
      </c>
      <c r="M492" s="511">
        <f t="shared" si="639"/>
        <v>13239.696279999998</v>
      </c>
      <c r="N492" s="511">
        <f t="shared" si="639"/>
        <v>109367.54804000001</v>
      </c>
      <c r="O492" s="511">
        <f t="shared" si="639"/>
        <v>38201.131479999996</v>
      </c>
      <c r="P492" s="512">
        <f t="shared" ref="P492:P497" si="640">SUM(J492:O492)</f>
        <v>682774.03703000001</v>
      </c>
      <c r="Q492" s="202"/>
      <c r="R492" s="209">
        <f t="shared" ref="R492:W492" si="641">SUM(R493:R497)</f>
        <v>5.7473874093560702E-2</v>
      </c>
      <c r="S492" s="209">
        <f t="shared" si="641"/>
        <v>28.815917379645892</v>
      </c>
      <c r="T492" s="209">
        <f t="shared" si="641"/>
        <v>4.0761299616317377</v>
      </c>
      <c r="U492" s="209">
        <f t="shared" si="641"/>
        <v>0.89728973283214475</v>
      </c>
      <c r="V492" s="209">
        <f t="shared" si="641"/>
        <v>4.5887360539478372</v>
      </c>
      <c r="W492" s="209">
        <f t="shared" si="641"/>
        <v>4.2373657462070898E-2</v>
      </c>
      <c r="X492" s="220">
        <f t="shared" ref="X492:X498" si="642">SUM(R492:W492)</f>
        <v>38.47792065961324</v>
      </c>
      <c r="Y492" s="177"/>
      <c r="Z492" s="199">
        <f t="shared" si="636"/>
        <v>0</v>
      </c>
      <c r="AA492" s="237">
        <v>635.27482792723197</v>
      </c>
      <c r="AB492" s="451">
        <v>0</v>
      </c>
      <c r="AC492" s="216" t="s">
        <v>225</v>
      </c>
      <c r="AD492" s="388"/>
      <c r="AJ492" s="10" t="s">
        <v>27</v>
      </c>
      <c r="AK492" s="56">
        <f t="shared" si="637"/>
        <v>0.87962324002886061</v>
      </c>
      <c r="AL492" s="56">
        <f t="shared" si="637"/>
        <v>0.63606393377766646</v>
      </c>
      <c r="AM492" s="56">
        <f t="shared" si="637"/>
        <v>0.47405769501905365</v>
      </c>
      <c r="AN492" s="56">
        <f t="shared" si="637"/>
        <v>0.74222324890309133</v>
      </c>
      <c r="AO492" s="56">
        <f t="shared" si="637"/>
        <v>0.6099306321782817</v>
      </c>
      <c r="AP492" s="56">
        <f t="shared" si="637"/>
        <v>0.58417611814000459</v>
      </c>
      <c r="AQ492" s="286">
        <f t="shared" si="637"/>
        <v>0.63418459133939808</v>
      </c>
    </row>
    <row r="493" spans="1:43">
      <c r="A493" s="513" t="s">
        <v>25</v>
      </c>
      <c r="B493" s="510"/>
      <c r="C493" s="510"/>
      <c r="D493" s="510"/>
      <c r="E493" s="510"/>
      <c r="F493" s="510"/>
      <c r="G493" s="510"/>
      <c r="H493" s="510"/>
      <c r="I493" s="510"/>
      <c r="J493" s="514">
        <f t="shared" ref="J493:O497" si="643">IFERROR(J474*R474,"")</f>
        <v>0</v>
      </c>
      <c r="K493" s="514">
        <f t="shared" si="643"/>
        <v>55082.349000000002</v>
      </c>
      <c r="L493" s="514">
        <f t="shared" si="643"/>
        <v>1076.3823</v>
      </c>
      <c r="M493" s="514">
        <f t="shared" si="643"/>
        <v>220.86570000000003</v>
      </c>
      <c r="N493" s="514">
        <f t="shared" si="643"/>
        <v>13854.758400000001</v>
      </c>
      <c r="O493" s="515">
        <f>IFERROR(O474*W474,"")</f>
        <v>37911.962999999996</v>
      </c>
      <c r="P493" s="516">
        <f t="shared" si="640"/>
        <v>108146.31839999999</v>
      </c>
      <c r="Q493" s="202"/>
      <c r="R493" s="211">
        <f t="shared" ref="R493:W498" si="644">J493*J$502/1000000</f>
        <v>0</v>
      </c>
      <c r="S493" s="211">
        <f t="shared" si="644"/>
        <v>3.1851565403171307</v>
      </c>
      <c r="T493" s="211">
        <f t="shared" si="644"/>
        <v>0.19051307896169847</v>
      </c>
      <c r="U493" s="211">
        <f t="shared" si="644"/>
        <v>1.4968660968768439E-2</v>
      </c>
      <c r="V493" s="211">
        <f t="shared" si="644"/>
        <v>0.58130433138689808</v>
      </c>
      <c r="W493" s="211">
        <f t="shared" si="644"/>
        <v>4.2052904498856632E-2</v>
      </c>
      <c r="X493" s="220">
        <f t="shared" si="642"/>
        <v>4.0139955161333525</v>
      </c>
      <c r="Y493" s="177"/>
      <c r="Z493" s="199">
        <f t="shared" si="636"/>
        <v>0</v>
      </c>
      <c r="AA493" s="237">
        <v>0.13038940931165</v>
      </c>
      <c r="AB493" s="451">
        <v>0</v>
      </c>
      <c r="AC493" s="216" t="s">
        <v>148</v>
      </c>
      <c r="AD493" s="388"/>
      <c r="AJ493" s="10" t="s">
        <v>28</v>
      </c>
      <c r="AK493" s="56">
        <f t="shared" si="637"/>
        <v>0.83756090570363995</v>
      </c>
      <c r="AL493" s="56">
        <f t="shared" si="637"/>
        <v>0.85143302252170139</v>
      </c>
      <c r="AM493" s="56" t="str">
        <f t="shared" si="637"/>
        <v/>
      </c>
      <c r="AN493" s="56">
        <f t="shared" si="637"/>
        <v>0.87496649816405703</v>
      </c>
      <c r="AO493" s="56">
        <f t="shared" si="637"/>
        <v>0.75738441359880482</v>
      </c>
      <c r="AP493" s="56" t="str">
        <f t="shared" si="637"/>
        <v/>
      </c>
      <c r="AQ493" s="286">
        <f t="shared" si="637"/>
        <v>0.8227060315484348</v>
      </c>
    </row>
    <row r="494" spans="1:43">
      <c r="A494" s="513" t="s">
        <v>26</v>
      </c>
      <c r="B494" s="510"/>
      <c r="C494" s="510"/>
      <c r="D494" s="510"/>
      <c r="E494" s="510"/>
      <c r="F494" s="510"/>
      <c r="G494" s="510"/>
      <c r="H494" s="510"/>
      <c r="I494" s="510"/>
      <c r="J494" s="514">
        <f t="shared" si="643"/>
        <v>0</v>
      </c>
      <c r="K494" s="514">
        <f t="shared" si="643"/>
        <v>27885.657000000003</v>
      </c>
      <c r="L494" s="514">
        <f t="shared" si="643"/>
        <v>0</v>
      </c>
      <c r="M494" s="514">
        <f t="shared" si="643"/>
        <v>1684.6718999999998</v>
      </c>
      <c r="N494" s="514">
        <f t="shared" si="643"/>
        <v>172.346</v>
      </c>
      <c r="O494" s="514">
        <f t="shared" si="643"/>
        <v>26.608999999999998</v>
      </c>
      <c r="P494" s="516">
        <f t="shared" si="640"/>
        <v>29769.283900000006</v>
      </c>
      <c r="Q494" s="202"/>
      <c r="R494" s="211">
        <f t="shared" si="644"/>
        <v>0</v>
      </c>
      <c r="S494" s="211">
        <f t="shared" si="644"/>
        <v>1.6124980939827054</v>
      </c>
      <c r="T494" s="211">
        <f t="shared" si="644"/>
        <v>0</v>
      </c>
      <c r="U494" s="211">
        <f t="shared" si="644"/>
        <v>0.11417473385279363</v>
      </c>
      <c r="V494" s="211">
        <f t="shared" si="644"/>
        <v>7.2311240228632445E-3</v>
      </c>
      <c r="W494" s="211">
        <f t="shared" si="644"/>
        <v>2.9515373176801114E-5</v>
      </c>
      <c r="X494" s="220">
        <f t="shared" si="642"/>
        <v>1.7339334672315392</v>
      </c>
      <c r="Y494" s="177"/>
      <c r="Z494" s="199">
        <f t="shared" si="636"/>
        <v>0</v>
      </c>
      <c r="AA494" s="237">
        <v>2.1957245053413899</v>
      </c>
      <c r="AB494" s="237">
        <v>0</v>
      </c>
      <c r="AC494" s="216" t="s">
        <v>142</v>
      </c>
      <c r="AD494" s="388"/>
      <c r="AJ494" s="10" t="s">
        <v>29</v>
      </c>
      <c r="AK494" s="56" t="str">
        <f t="shared" si="637"/>
        <v/>
      </c>
      <c r="AL494" s="56">
        <f t="shared" si="637"/>
        <v>0.51003865113246472</v>
      </c>
      <c r="AM494" s="56">
        <f t="shared" si="637"/>
        <v>0.37335582159313879</v>
      </c>
      <c r="AN494" s="56">
        <f t="shared" si="637"/>
        <v>0.77958704084848429</v>
      </c>
      <c r="AO494" s="56">
        <f t="shared" si="637"/>
        <v>0.52296108195851843</v>
      </c>
      <c r="AP494" s="56">
        <f t="shared" si="637"/>
        <v>0.67014477934512329</v>
      </c>
      <c r="AQ494" s="286">
        <f t="shared" si="637"/>
        <v>0.51918447857185523</v>
      </c>
    </row>
    <row r="495" spans="1:43">
      <c r="A495" s="513" t="s">
        <v>27</v>
      </c>
      <c r="B495" s="510"/>
      <c r="C495" s="510"/>
      <c r="D495" s="510"/>
      <c r="E495" s="510"/>
      <c r="F495" s="510"/>
      <c r="G495" s="510"/>
      <c r="H495" s="510"/>
      <c r="I495" s="510"/>
      <c r="J495" s="514">
        <f t="shared" si="643"/>
        <v>547.82952</v>
      </c>
      <c r="K495" s="514">
        <f>IFERROR(K476*S476,"")</f>
        <v>405743.44545</v>
      </c>
      <c r="L495" s="514">
        <f t="shared" si="643"/>
        <v>12463.649000000001</v>
      </c>
      <c r="M495" s="514">
        <f t="shared" si="643"/>
        <v>9184.1115599999994</v>
      </c>
      <c r="N495" s="514">
        <f t="shared" si="643"/>
        <v>45801.088960000001</v>
      </c>
      <c r="O495" s="514">
        <f t="shared" si="643"/>
        <v>196.85795999999999</v>
      </c>
      <c r="P495" s="516">
        <f t="shared" si="640"/>
        <v>473936.98245000001</v>
      </c>
      <c r="Q495" s="202"/>
      <c r="R495" s="211">
        <f t="shared" si="644"/>
        <v>5.1682052702584004E-2</v>
      </c>
      <c r="S495" s="211">
        <f t="shared" si="644"/>
        <v>23.46225991498428</v>
      </c>
      <c r="T495" s="211">
        <f t="shared" si="644"/>
        <v>2.2059895876101776</v>
      </c>
      <c r="U495" s="211">
        <f t="shared" si="644"/>
        <v>0.62243187711349923</v>
      </c>
      <c r="V495" s="211">
        <f t="shared" si="644"/>
        <v>1.9216770604014746</v>
      </c>
      <c r="W495" s="211">
        <f t="shared" si="644"/>
        <v>2.1835980879491098E-4</v>
      </c>
      <c r="X495" s="220">
        <f t="shared" si="642"/>
        <v>28.264258852620809</v>
      </c>
      <c r="Y495" s="177"/>
      <c r="Z495" s="199">
        <f t="shared" si="636"/>
        <v>0</v>
      </c>
      <c r="AA495" s="456"/>
      <c r="AB495" s="388"/>
      <c r="AC495" s="216" t="s">
        <v>145</v>
      </c>
      <c r="AD495" s="388"/>
      <c r="AJ495" s="10" t="s">
        <v>389</v>
      </c>
      <c r="AK495" s="56" t="str">
        <f t="shared" ref="AK495:AQ495" si="645">IFERROR(((J479/11.63)+J516)/J523,"")</f>
        <v/>
      </c>
      <c r="AL495" s="56" t="str">
        <f t="shared" si="645"/>
        <v/>
      </c>
      <c r="AM495" s="56" t="str">
        <f t="shared" si="645"/>
        <v/>
      </c>
      <c r="AN495" s="56" t="str">
        <f t="shared" si="645"/>
        <v/>
      </c>
      <c r="AO495" s="56" t="str">
        <f t="shared" si="645"/>
        <v/>
      </c>
      <c r="AP495" s="56" t="str">
        <f t="shared" si="645"/>
        <v/>
      </c>
      <c r="AQ495" s="286" t="str">
        <f t="shared" si="645"/>
        <v/>
      </c>
    </row>
    <row r="496" spans="1:43">
      <c r="A496" s="513" t="s">
        <v>28</v>
      </c>
      <c r="B496" s="510"/>
      <c r="C496" s="510"/>
      <c r="D496" s="510"/>
      <c r="E496" s="510"/>
      <c r="F496" s="510"/>
      <c r="G496" s="510"/>
      <c r="H496" s="510"/>
      <c r="I496" s="510"/>
      <c r="J496" s="514">
        <f t="shared" si="643"/>
        <v>61.393280000000004</v>
      </c>
      <c r="K496" s="514">
        <f t="shared" si="643"/>
        <v>3186.7021799999998</v>
      </c>
      <c r="L496" s="514">
        <f t="shared" si="643"/>
        <v>0</v>
      </c>
      <c r="M496" s="514">
        <f t="shared" si="643"/>
        <v>745.83591999999999</v>
      </c>
      <c r="N496" s="514">
        <f t="shared" si="643"/>
        <v>3929.7076800000004</v>
      </c>
      <c r="O496" s="514">
        <f t="shared" si="643"/>
        <v>0</v>
      </c>
      <c r="P496" s="516">
        <f t="shared" si="640"/>
        <v>7923.6390599999995</v>
      </c>
      <c r="Q496" s="202"/>
      <c r="R496" s="211">
        <f t="shared" si="644"/>
        <v>5.791821390976698E-3</v>
      </c>
      <c r="S496" s="211">
        <f t="shared" si="644"/>
        <v>0.18427219381420817</v>
      </c>
      <c r="T496" s="211">
        <f t="shared" si="644"/>
        <v>0</v>
      </c>
      <c r="U496" s="211">
        <f t="shared" si="644"/>
        <v>5.0547301028677147E-2</v>
      </c>
      <c r="V496" s="211">
        <f t="shared" si="644"/>
        <v>0.16487881127312612</v>
      </c>
      <c r="W496" s="211">
        <f t="shared" si="644"/>
        <v>0</v>
      </c>
      <c r="X496" s="220">
        <f t="shared" si="642"/>
        <v>0.4054901275069881</v>
      </c>
      <c r="Y496" s="177"/>
      <c r="Z496" s="199">
        <f t="shared" si="636"/>
        <v>0</v>
      </c>
      <c r="AA496" s="237">
        <v>12.822034073781699</v>
      </c>
      <c r="AB496" s="237">
        <v>0</v>
      </c>
      <c r="AC496" s="216" t="s">
        <v>143</v>
      </c>
      <c r="AD496" s="388"/>
      <c r="AE496" s="216"/>
      <c r="AF496" s="215"/>
      <c r="AG496" s="237"/>
      <c r="AH496" s="237"/>
      <c r="AJ496" s="308" t="s">
        <v>290</v>
      </c>
      <c r="AK496" s="307">
        <f t="shared" ref="AK496:AP496" si="646">IFERROR(((J480/11.63)+J510)/(J517+J485/41.868),"")</f>
        <v>0.38809456440291612</v>
      </c>
      <c r="AL496" s="307">
        <f t="shared" si="646"/>
        <v>0.61572367041554166</v>
      </c>
      <c r="AM496" s="307">
        <f t="shared" si="646"/>
        <v>0.443107590545399</v>
      </c>
      <c r="AN496" s="307">
        <f t="shared" si="646"/>
        <v>0.65493272317354401</v>
      </c>
      <c r="AO496" s="307">
        <f t="shared" si="646"/>
        <v>0.49541365752719674</v>
      </c>
      <c r="AP496" s="307">
        <f t="shared" si="646"/>
        <v>0.50605708309727992</v>
      </c>
      <c r="AQ496" s="307">
        <f>IFERROR(((P480/11.63)+P510)/(P517+P485/41.868),"")</f>
        <v>0.55350925897841763</v>
      </c>
    </row>
    <row r="497" spans="1:34">
      <c r="A497" s="513" t="s">
        <v>29</v>
      </c>
      <c r="B497" s="510"/>
      <c r="C497" s="510"/>
      <c r="D497" s="510"/>
      <c r="E497" s="510"/>
      <c r="F497" s="510"/>
      <c r="G497" s="510"/>
      <c r="H497" s="510"/>
      <c r="I497" s="510"/>
      <c r="J497" s="514">
        <f t="shared" si="643"/>
        <v>0</v>
      </c>
      <c r="K497" s="514">
        <f t="shared" si="643"/>
        <v>6428.5055999999995</v>
      </c>
      <c r="L497" s="514">
        <f t="shared" si="643"/>
        <v>9489.7478999999985</v>
      </c>
      <c r="M497" s="514">
        <f t="shared" si="643"/>
        <v>1404.2112</v>
      </c>
      <c r="N497" s="514">
        <f t="shared" si="643"/>
        <v>45609.647000000004</v>
      </c>
      <c r="O497" s="514">
        <f t="shared" si="643"/>
        <v>65.701520000000002</v>
      </c>
      <c r="P497" s="516">
        <f t="shared" si="640"/>
        <v>62997.813220000011</v>
      </c>
      <c r="Q497" s="202"/>
      <c r="R497" s="211">
        <f t="shared" si="644"/>
        <v>0</v>
      </c>
      <c r="S497" s="211">
        <f t="shared" si="644"/>
        <v>0.37173063654756799</v>
      </c>
      <c r="T497" s="211">
        <f t="shared" si="644"/>
        <v>1.6796272950598614</v>
      </c>
      <c r="U497" s="211">
        <f t="shared" si="644"/>
        <v>9.5167159868406404E-2</v>
      </c>
      <c r="V497" s="211">
        <f t="shared" si="644"/>
        <v>1.9136447268634755</v>
      </c>
      <c r="W497" s="211">
        <f t="shared" si="644"/>
        <v>7.2877781242551852E-5</v>
      </c>
      <c r="X497" s="220">
        <f t="shared" si="642"/>
        <v>4.0602426961205538</v>
      </c>
      <c r="Y497" s="177"/>
      <c r="Z497" s="199">
        <f t="shared" si="636"/>
        <v>0</v>
      </c>
      <c r="AA497" s="237">
        <v>1186.79385640904</v>
      </c>
      <c r="AB497" s="237">
        <v>0</v>
      </c>
      <c r="AC497" s="216" t="s">
        <v>231</v>
      </c>
      <c r="AD497" s="388"/>
      <c r="AE497" s="216"/>
      <c r="AF497" s="215"/>
      <c r="AG497" s="237"/>
      <c r="AH497" s="237"/>
    </row>
    <row r="498" spans="1:34">
      <c r="A498" s="513" t="s">
        <v>389</v>
      </c>
      <c r="B498" s="510"/>
      <c r="C498" s="510"/>
      <c r="D498" s="510"/>
      <c r="E498" s="510"/>
      <c r="F498" s="510"/>
      <c r="G498" s="510"/>
      <c r="H498" s="510"/>
      <c r="I498" s="510"/>
      <c r="J498" s="514"/>
      <c r="K498" s="514"/>
      <c r="L498" s="514"/>
      <c r="M498" s="514"/>
      <c r="N498" s="514"/>
      <c r="O498" s="514"/>
      <c r="P498" s="516"/>
      <c r="Q498" s="202"/>
      <c r="R498" s="211">
        <f t="shared" si="644"/>
        <v>0</v>
      </c>
      <c r="S498" s="211">
        <f t="shared" si="644"/>
        <v>0</v>
      </c>
      <c r="T498" s="211">
        <f t="shared" si="644"/>
        <v>0</v>
      </c>
      <c r="U498" s="211">
        <f t="shared" si="644"/>
        <v>0</v>
      </c>
      <c r="V498" s="211">
        <f t="shared" si="644"/>
        <v>0</v>
      </c>
      <c r="W498" s="211">
        <f t="shared" si="644"/>
        <v>0</v>
      </c>
      <c r="X498" s="220">
        <f t="shared" si="642"/>
        <v>0</v>
      </c>
      <c r="Y498" s="177"/>
      <c r="Z498" s="199">
        <f t="shared" si="636"/>
        <v>9673.5158950721743</v>
      </c>
      <c r="AA498" s="237">
        <v>198.006515159402</v>
      </c>
      <c r="AB498" s="237">
        <v>48.854533333333322</v>
      </c>
      <c r="AC498" s="219" t="s">
        <v>144</v>
      </c>
      <c r="AD498" s="388"/>
      <c r="AE498" s="219"/>
      <c r="AF498" s="215"/>
      <c r="AG498" s="237"/>
      <c r="AH498" s="237"/>
    </row>
    <row r="499" spans="1:34">
      <c r="A499" s="11" t="s">
        <v>10</v>
      </c>
      <c r="J499" s="212">
        <f t="shared" ref="J499:P499" si="647">J485+J492</f>
        <v>266911.27777999995</v>
      </c>
      <c r="K499" s="212">
        <f t="shared" si="647"/>
        <v>820963.76942000003</v>
      </c>
      <c r="L499" s="212">
        <f t="shared" si="647"/>
        <v>23284.243999999999</v>
      </c>
      <c r="M499" s="212">
        <f t="shared" si="647"/>
        <v>25586.599539999996</v>
      </c>
      <c r="N499" s="212">
        <f t="shared" si="647"/>
        <v>191930.42795000001</v>
      </c>
      <c r="O499" s="212">
        <f t="shared" si="647"/>
        <v>67228.670409999992</v>
      </c>
      <c r="P499" s="212">
        <f t="shared" si="647"/>
        <v>1395904.9890999999</v>
      </c>
      <c r="Q499" s="202"/>
      <c r="R499" s="314">
        <f t="shared" ref="R499:X499" si="648">R485+R492</f>
        <v>25.180320193661704</v>
      </c>
      <c r="S499" s="229">
        <f t="shared" si="648"/>
        <v>47.472523721374294</v>
      </c>
      <c r="T499" s="229">
        <f t="shared" si="648"/>
        <v>4.1211686737467295</v>
      </c>
      <c r="U499" s="229">
        <f t="shared" si="648"/>
        <v>1.7340724877511828</v>
      </c>
      <c r="V499" s="229">
        <f t="shared" si="648"/>
        <v>8.0528281959991421</v>
      </c>
      <c r="W499" s="229">
        <f t="shared" si="648"/>
        <v>7.4571734951757548E-2</v>
      </c>
      <c r="X499" s="229">
        <f t="shared" si="648"/>
        <v>86.635485007484817</v>
      </c>
      <c r="Y499" s="177"/>
      <c r="Z499" s="199">
        <f t="shared" si="636"/>
        <v>0</v>
      </c>
      <c r="AA499" s="237">
        <v>10.9545124173478</v>
      </c>
      <c r="AB499" s="237">
        <v>0</v>
      </c>
      <c r="AC499" s="216" t="s">
        <v>146</v>
      </c>
      <c r="AD499" s="388"/>
      <c r="AE499" s="216"/>
      <c r="AF499" s="215"/>
      <c r="AG499" s="237"/>
      <c r="AH499" s="237"/>
    </row>
    <row r="500" spans="1:34">
      <c r="E500" s="68" t="s">
        <v>200</v>
      </c>
      <c r="F500" s="68"/>
      <c r="G500" s="68"/>
      <c r="H500" s="68"/>
      <c r="I500" s="68"/>
      <c r="J500" s="367">
        <f>J499/41.868</f>
        <v>6375.0663461354716</v>
      </c>
      <c r="K500" s="367">
        <f t="shared" ref="K500:P500" si="649">K499/41.868</f>
        <v>19608.382760580873</v>
      </c>
      <c r="L500" s="367">
        <f t="shared" si="649"/>
        <v>556.1346135473392</v>
      </c>
      <c r="M500" s="367">
        <f t="shared" si="649"/>
        <v>611.12543087799736</v>
      </c>
      <c r="N500" s="367">
        <f t="shared" si="649"/>
        <v>4584.1795153816756</v>
      </c>
      <c r="O500" s="367">
        <f t="shared" si="649"/>
        <v>1605.7292063150853</v>
      </c>
      <c r="P500" s="367">
        <f t="shared" si="649"/>
        <v>33340.61787283844</v>
      </c>
      <c r="R500" s="227">
        <v>25.1803201936617</v>
      </c>
      <c r="S500" s="227">
        <v>47.472523721374301</v>
      </c>
      <c r="T500" s="227">
        <v>4.1045788662784517</v>
      </c>
      <c r="U500" s="227">
        <v>1.7340724877511835</v>
      </c>
      <c r="V500" s="227">
        <v>8.0528279305501371</v>
      </c>
      <c r="W500" s="227">
        <v>7.4571734951757604E-2</v>
      </c>
      <c r="X500" s="227">
        <v>86.635484742035814</v>
      </c>
      <c r="Y500" s="177"/>
      <c r="Z500" s="199">
        <f t="shared" si="636"/>
        <v>3448.5618747878443</v>
      </c>
      <c r="AA500" s="237">
        <v>24.115817306208701</v>
      </c>
      <c r="AB500" s="237">
        <v>143</v>
      </c>
      <c r="AC500" s="216" t="s">
        <v>147</v>
      </c>
      <c r="AD500" s="388"/>
      <c r="AE500" s="216"/>
      <c r="AF500" s="215"/>
      <c r="AG500" s="237"/>
      <c r="AH500" s="237"/>
    </row>
    <row r="501" spans="1:34">
      <c r="P501" s="367"/>
      <c r="T501" s="228">
        <v>1.6589807468277734E-2</v>
      </c>
      <c r="U501" s="228"/>
      <c r="Y501" s="177"/>
      <c r="Z501" s="199">
        <f t="shared" si="636"/>
        <v>0</v>
      </c>
      <c r="AA501" s="237"/>
      <c r="AB501" s="237">
        <v>45.85</v>
      </c>
      <c r="AC501" s="216" t="s">
        <v>232</v>
      </c>
      <c r="AD501" s="388"/>
      <c r="AE501" s="216"/>
      <c r="AF501" s="215"/>
      <c r="AG501" s="237"/>
      <c r="AH501" s="237"/>
    </row>
    <row r="502" spans="1:34">
      <c r="A502" s="213" t="s">
        <v>217</v>
      </c>
      <c r="J502" s="198">
        <f>SUM(Z467:Z470)/SUM(AA467:AA470)+J503</f>
        <v>94.339663738062171</v>
      </c>
      <c r="K502" s="215">
        <f>AB472+K503</f>
        <v>57.825357816841297</v>
      </c>
      <c r="L502" s="177">
        <f>SUM(Z474:Z477)/SUM(AA474:AA477)+L503</f>
        <v>176.99387936953116</v>
      </c>
      <c r="M502" s="198">
        <f>SUM(Z479:Z485)/SUM(AA479:AA485)+M503</f>
        <v>67.772682534084908</v>
      </c>
      <c r="N502" s="198">
        <f>SUM(Z487:Z502)/SUM(AA487:AA502)+N503</f>
        <v>41.957016831625012</v>
      </c>
      <c r="O502" s="198">
        <f>SUM(Z504:Z513)/SUM(AA504:AA513)+O503</f>
        <v>1.1092251936112261</v>
      </c>
      <c r="P502" s="363">
        <f>P492/41.868</f>
        <v>16307.777706840547</v>
      </c>
      <c r="Q502" s="177">
        <f>P502-'5-x'!X82</f>
        <v>-9.8494076701172162E-4</v>
      </c>
      <c r="Y502" s="177"/>
      <c r="Z502" s="199">
        <f t="shared" si="636"/>
        <v>55432.377160488453</v>
      </c>
      <c r="AA502" s="237">
        <v>1208.99404930182</v>
      </c>
      <c r="AB502" s="237">
        <v>45.85</v>
      </c>
      <c r="AC502" s="216" t="s">
        <v>233</v>
      </c>
      <c r="AD502" s="388"/>
      <c r="AE502" s="216"/>
      <c r="AF502" s="215"/>
      <c r="AG502" s="237"/>
      <c r="AH502" s="237"/>
    </row>
    <row r="503" spans="1:34">
      <c r="A503" s="504" t="s">
        <v>415</v>
      </c>
      <c r="B503" s="503"/>
      <c r="C503" s="503"/>
      <c r="D503" s="503"/>
      <c r="E503" s="503"/>
      <c r="F503" s="503"/>
      <c r="G503" s="503"/>
      <c r="H503" s="503"/>
      <c r="I503" s="503"/>
      <c r="J503" s="503">
        <v>1.1479757286474934E-2</v>
      </c>
      <c r="K503" s="503">
        <v>0.31100357031979819</v>
      </c>
      <c r="L503" s="503">
        <v>3.0793895647995839E-3</v>
      </c>
      <c r="M503" s="503">
        <v>-5.6587449737820483E-3</v>
      </c>
      <c r="N503" s="503">
        <v>5.1556113668817796</v>
      </c>
      <c r="O503" s="503">
        <v>-3.6782290720815958E-3</v>
      </c>
      <c r="P503" s="364">
        <f>P485/41.868</f>
        <v>17032.840165997899</v>
      </c>
      <c r="Q503" s="177">
        <f>P503-'5-x'!X83</f>
        <v>-4.8170440422836691E-3</v>
      </c>
      <c r="R503" s="506">
        <f>R499-R500</f>
        <v>0</v>
      </c>
      <c r="S503" s="506">
        <f>S499-S500</f>
        <v>0</v>
      </c>
      <c r="T503" s="506">
        <f>T499-SUM(T500:T501)</f>
        <v>0</v>
      </c>
      <c r="U503" s="506">
        <f>U499-U500</f>
        <v>0</v>
      </c>
      <c r="V503" s="506">
        <f>V499-V500</f>
        <v>2.6544900499914093E-7</v>
      </c>
      <c r="W503" s="506">
        <f>W499-W500</f>
        <v>0</v>
      </c>
      <c r="X503" s="202">
        <f>X499-X500</f>
        <v>2.6544900322278409E-7</v>
      </c>
      <c r="Y503" s="177"/>
      <c r="AA503" s="470" t="s">
        <v>240</v>
      </c>
      <c r="AB503" s="388"/>
      <c r="AC503" s="451"/>
      <c r="AD503" s="388"/>
    </row>
    <row r="504" spans="1:34">
      <c r="K504" s="56"/>
      <c r="L504" s="198"/>
      <c r="N504" s="198"/>
      <c r="O504" s="198"/>
      <c r="P504" s="365">
        <f>P517-P502</f>
        <v>5767.6922931594545</v>
      </c>
      <c r="Q504" s="177">
        <f>P504-'5-x'!X84</f>
        <v>9.8494076701172162E-4</v>
      </c>
      <c r="Y504" s="177"/>
      <c r="Z504" s="199">
        <f>AA504*AB504</f>
        <v>1787.01468046592</v>
      </c>
      <c r="AA504" s="237">
        <v>20.047243317394699</v>
      </c>
      <c r="AB504" s="214">
        <v>89.140170155731766</v>
      </c>
      <c r="AC504" s="217" t="s">
        <v>221</v>
      </c>
      <c r="AD504" s="388"/>
    </row>
    <row r="505" spans="1:34">
      <c r="J505" s="198">
        <f t="shared" ref="J505:O505" si="650">J492/41.868</f>
        <v>14.551036591191362</v>
      </c>
      <c r="K505" s="198">
        <f t="shared" si="650"/>
        <v>11902.327773717398</v>
      </c>
      <c r="L505" s="198">
        <f t="shared" si="650"/>
        <v>550.05682621572555</v>
      </c>
      <c r="M505" s="198">
        <f t="shared" si="650"/>
        <v>316.22471290723217</v>
      </c>
      <c r="N505" s="198">
        <f t="shared" si="650"/>
        <v>2612.1990073564539</v>
      </c>
      <c r="O505" s="198">
        <f t="shared" si="650"/>
        <v>912.41835005254597</v>
      </c>
      <c r="P505" s="366">
        <f>SUM(P502:P504)</f>
        <v>39108.3101659979</v>
      </c>
      <c r="Q505" s="366"/>
      <c r="Y505" s="177"/>
      <c r="Z505" s="199">
        <f>AA505*AB505</f>
        <v>0</v>
      </c>
      <c r="AA505" s="237">
        <v>1023.1642011512999</v>
      </c>
      <c r="AB505" s="237">
        <v>0</v>
      </c>
      <c r="AC505" s="216" t="s">
        <v>226</v>
      </c>
      <c r="AD505" s="388"/>
    </row>
    <row r="506" spans="1:34">
      <c r="J506" s="198">
        <f t="shared" ref="J506:O506" si="651">J517-(J510/J507)</f>
        <v>14.551036591191362</v>
      </c>
      <c r="K506" s="198">
        <f t="shared" si="651"/>
        <v>11902.327773717398</v>
      </c>
      <c r="L506" s="198">
        <f t="shared" si="651"/>
        <v>550.05682621572555</v>
      </c>
      <c r="M506" s="198">
        <f t="shared" si="651"/>
        <v>316.22471290723217</v>
      </c>
      <c r="N506" s="198">
        <f t="shared" si="651"/>
        <v>2612.1990073564539</v>
      </c>
      <c r="O506" s="198">
        <f t="shared" si="651"/>
        <v>912.41835005254597</v>
      </c>
      <c r="P506" s="198"/>
      <c r="Y506" s="177"/>
      <c r="Z506" s="199"/>
      <c r="AA506" s="237"/>
      <c r="AB506" s="237">
        <v>0</v>
      </c>
      <c r="AC506" s="216" t="s">
        <v>227</v>
      </c>
      <c r="AD506" s="388"/>
    </row>
    <row r="507" spans="1:34">
      <c r="A507" s="271" t="s">
        <v>413</v>
      </c>
      <c r="J507" s="314">
        <f>J510/(J517-J492/41.868)</f>
        <v>0.88975881718412897</v>
      </c>
      <c r="K507" s="314">
        <f t="shared" ref="K507:P507" si="652">K510/(K517-K492/41.868)</f>
        <v>0.89381906004629275</v>
      </c>
      <c r="L507" s="314">
        <f t="shared" si="652"/>
        <v>0.89941896298141388</v>
      </c>
      <c r="M507" s="314">
        <f t="shared" si="652"/>
        <v>0.90052739839024976</v>
      </c>
      <c r="N507" s="314">
        <f t="shared" si="652"/>
        <v>0.87018986396996933</v>
      </c>
      <c r="O507" s="314">
        <f t="shared" si="652"/>
        <v>0.88473019779089923</v>
      </c>
      <c r="P507" s="314">
        <f t="shared" si="652"/>
        <v>0.88886503291451946</v>
      </c>
      <c r="Y507" s="177"/>
      <c r="Z507" s="199">
        <f>AA507*AB507</f>
        <v>0</v>
      </c>
      <c r="AA507" s="237">
        <v>230.80747822259599</v>
      </c>
      <c r="AB507" s="237">
        <v>0</v>
      </c>
      <c r="AC507" s="216" t="s">
        <v>150</v>
      </c>
      <c r="AD507" s="388"/>
    </row>
    <row r="508" spans="1:34">
      <c r="A508" s="68" t="s">
        <v>276</v>
      </c>
      <c r="J508" s="198"/>
      <c r="K508" s="198"/>
      <c r="P508" s="198"/>
      <c r="R508" s="221" t="s">
        <v>400</v>
      </c>
      <c r="S508" s="195"/>
      <c r="T508" s="195"/>
      <c r="U508" s="195"/>
      <c r="V508" s="195"/>
      <c r="W508" s="195"/>
      <c r="X508" s="195"/>
      <c r="Y508" s="177"/>
      <c r="Z508" s="199">
        <f>AA508*AB508</f>
        <v>0</v>
      </c>
      <c r="AA508" s="237">
        <v>22.646333322059601</v>
      </c>
      <c r="AB508" s="237">
        <v>0</v>
      </c>
      <c r="AC508" s="216" t="s">
        <v>151</v>
      </c>
      <c r="AD508" s="388"/>
    </row>
    <row r="509" spans="1:34">
      <c r="A509" s="68" t="str">
        <f>$A$464</f>
        <v>Dati 2018 lorda</v>
      </c>
      <c r="J509" s="210" t="s">
        <v>5</v>
      </c>
      <c r="K509" s="210" t="s">
        <v>210</v>
      </c>
      <c r="L509" s="210" t="s">
        <v>211</v>
      </c>
      <c r="M509" s="210" t="s">
        <v>214</v>
      </c>
      <c r="N509" s="210" t="s">
        <v>216</v>
      </c>
      <c r="O509" s="210" t="s">
        <v>215</v>
      </c>
      <c r="P509" s="210" t="s">
        <v>213</v>
      </c>
      <c r="R509" s="221" t="s">
        <v>5</v>
      </c>
      <c r="S509" s="221" t="s">
        <v>210</v>
      </c>
      <c r="T509" s="221" t="s">
        <v>211</v>
      </c>
      <c r="U509" s="221" t="s">
        <v>214</v>
      </c>
      <c r="V509" s="221" t="s">
        <v>216</v>
      </c>
      <c r="W509" s="221" t="s">
        <v>215</v>
      </c>
      <c r="X509" s="221" t="s">
        <v>213</v>
      </c>
      <c r="Y509" s="177"/>
      <c r="Z509" s="199">
        <f>AA509*AB509</f>
        <v>0</v>
      </c>
      <c r="AA509" s="237">
        <v>5.2445582966387096</v>
      </c>
      <c r="AB509" s="237">
        <v>0</v>
      </c>
      <c r="AC509" s="218" t="s">
        <v>153</v>
      </c>
      <c r="AD509" s="388"/>
    </row>
    <row r="510" spans="1:34">
      <c r="A510" s="518" t="s">
        <v>275</v>
      </c>
      <c r="B510" s="510"/>
      <c r="C510" s="510"/>
      <c r="D510" s="510"/>
      <c r="E510" s="510"/>
      <c r="F510" s="510"/>
      <c r="G510" s="510"/>
      <c r="H510" s="510"/>
      <c r="I510" s="510"/>
      <c r="J510" s="511">
        <f t="shared" ref="J510:O510" si="653">SUM(J511:J515)</f>
        <v>46.4</v>
      </c>
      <c r="K510" s="511">
        <f t="shared" si="653"/>
        <v>3281.8999999999996</v>
      </c>
      <c r="L510" s="511">
        <f t="shared" si="653"/>
        <v>58.6</v>
      </c>
      <c r="M510" s="511">
        <f t="shared" si="653"/>
        <v>430.7</v>
      </c>
      <c r="N510" s="511">
        <f t="shared" si="653"/>
        <v>1095.0999999999999</v>
      </c>
      <c r="O510" s="511">
        <f t="shared" si="653"/>
        <v>214</v>
      </c>
      <c r="P510" s="512">
        <f t="shared" ref="P510:P515" si="654">SUM(J510:O510)</f>
        <v>5126.6999999999989</v>
      </c>
      <c r="Q510" s="223" t="s">
        <v>17</v>
      </c>
      <c r="R510" s="316">
        <f t="shared" ref="R510:X515" si="655">IFERROR(R485/J466*1000000,0)</f>
        <v>886.69849947404634</v>
      </c>
      <c r="S510" s="316">
        <f t="shared" si="655"/>
        <v>393.48107956024188</v>
      </c>
      <c r="T510" s="316">
        <f t="shared" si="655"/>
        <v>1621.2639350249053</v>
      </c>
      <c r="U510" s="316">
        <f t="shared" si="655"/>
        <v>725.78170149273865</v>
      </c>
      <c r="V510" s="316">
        <f t="shared" si="655"/>
        <v>473.64039044914034</v>
      </c>
      <c r="W510" s="316">
        <f t="shared" si="655"/>
        <v>10.854150439985656</v>
      </c>
      <c r="X510" s="316">
        <f t="shared" si="655"/>
        <v>552.21390780097295</v>
      </c>
      <c r="Y510" s="177"/>
      <c r="Z510" s="199">
        <f>AA510*AB510</f>
        <v>0</v>
      </c>
      <c r="AA510" s="237">
        <v>87.266962067966304</v>
      </c>
      <c r="AB510" s="237">
        <v>0</v>
      </c>
      <c r="AC510" s="216" t="s">
        <v>228</v>
      </c>
      <c r="AD510" s="388"/>
    </row>
    <row r="511" spans="1:34">
      <c r="A511" s="519" t="s">
        <v>25</v>
      </c>
      <c r="B511" s="510"/>
      <c r="C511" s="510"/>
      <c r="D511" s="510"/>
      <c r="E511" s="510"/>
      <c r="F511" s="510"/>
      <c r="G511" s="510"/>
      <c r="H511" s="510"/>
      <c r="I511" s="510"/>
      <c r="J511" s="510"/>
      <c r="K511" s="510">
        <v>671.9</v>
      </c>
      <c r="L511" s="510">
        <v>8.1999999999999993</v>
      </c>
      <c r="M511" s="510">
        <v>2.8</v>
      </c>
      <c r="N511" s="510">
        <v>214.1</v>
      </c>
      <c r="O511" s="510">
        <v>210.2</v>
      </c>
      <c r="P511" s="512">
        <f t="shared" si="654"/>
        <v>1107.2</v>
      </c>
      <c r="Q511" s="216" t="s">
        <v>18</v>
      </c>
      <c r="R511" s="317">
        <f t="shared" si="655"/>
        <v>0</v>
      </c>
      <c r="S511" s="317">
        <f t="shared" si="655"/>
        <v>567.55588697229734</v>
      </c>
      <c r="T511" s="317">
        <f t="shared" si="655"/>
        <v>1621.2639350249053</v>
      </c>
      <c r="U511" s="317">
        <f t="shared" si="655"/>
        <v>651.36325183509007</v>
      </c>
      <c r="V511" s="317">
        <f t="shared" si="655"/>
        <v>364.73234731731617</v>
      </c>
      <c r="W511" s="317">
        <f t="shared" si="655"/>
        <v>10.842676267549736</v>
      </c>
      <c r="X511" s="316">
        <f t="shared" si="655"/>
        <v>176.76371189621577</v>
      </c>
      <c r="Y511" s="177"/>
      <c r="Z511" s="199">
        <f>AA511*AB511</f>
        <v>0</v>
      </c>
      <c r="AA511" s="237">
        <v>11.270355073468</v>
      </c>
      <c r="AB511" s="237">
        <v>0</v>
      </c>
      <c r="AC511" s="216" t="s">
        <v>152</v>
      </c>
      <c r="AD511" s="388"/>
    </row>
    <row r="512" spans="1:34">
      <c r="A512" s="519" t="s">
        <v>26</v>
      </c>
      <c r="B512" s="510"/>
      <c r="C512" s="510"/>
      <c r="D512" s="510"/>
      <c r="E512" s="510"/>
      <c r="F512" s="510"/>
      <c r="G512" s="510"/>
      <c r="H512" s="510"/>
      <c r="I512" s="510"/>
      <c r="J512" s="510"/>
      <c r="K512" s="510">
        <v>521.4</v>
      </c>
      <c r="L512" s="510"/>
      <c r="M512" s="510">
        <v>46.3</v>
      </c>
      <c r="N512" s="510">
        <v>8.8000000000000007</v>
      </c>
      <c r="O512" s="510">
        <v>0.5</v>
      </c>
      <c r="P512" s="512">
        <f t="shared" si="654"/>
        <v>576.99999999999989</v>
      </c>
      <c r="Q512" s="216" t="s">
        <v>19</v>
      </c>
      <c r="R512" s="317">
        <f t="shared" si="655"/>
        <v>0</v>
      </c>
      <c r="S512" s="317">
        <f t="shared" si="655"/>
        <v>648.56921327369196</v>
      </c>
      <c r="T512" s="317">
        <f t="shared" si="655"/>
        <v>0</v>
      </c>
      <c r="U512" s="317">
        <f t="shared" si="655"/>
        <v>1048.0367627070889</v>
      </c>
      <c r="V512" s="317">
        <f t="shared" si="655"/>
        <v>562.39185361110174</v>
      </c>
      <c r="W512" s="317">
        <f t="shared" si="655"/>
        <v>12.555319966485468</v>
      </c>
      <c r="X512" s="316">
        <f t="shared" si="655"/>
        <v>595.08294441348596</v>
      </c>
      <c r="Y512" s="177"/>
      <c r="Z512" s="199"/>
      <c r="AA512" s="237"/>
      <c r="AB512" s="237">
        <v>0</v>
      </c>
      <c r="AC512" s="216" t="s">
        <v>229</v>
      </c>
    </row>
    <row r="513" spans="1:34">
      <c r="A513" s="519" t="s">
        <v>27</v>
      </c>
      <c r="B513" s="510"/>
      <c r="C513" s="510"/>
      <c r="D513" s="510"/>
      <c r="E513" s="510"/>
      <c r="F513" s="510"/>
      <c r="G513" s="510"/>
      <c r="H513" s="510"/>
      <c r="I513" s="510"/>
      <c r="J513" s="510">
        <v>37.4</v>
      </c>
      <c r="K513" s="510">
        <v>1861.6</v>
      </c>
      <c r="L513" s="510">
        <v>43.8</v>
      </c>
      <c r="M513" s="510">
        <v>236.8</v>
      </c>
      <c r="N513" s="510">
        <v>171.9</v>
      </c>
      <c r="O513" s="510">
        <v>1.4</v>
      </c>
      <c r="P513" s="512">
        <f t="shared" si="654"/>
        <v>2352.9</v>
      </c>
      <c r="Q513" s="216" t="s">
        <v>20</v>
      </c>
      <c r="R513" s="317">
        <f t="shared" si="655"/>
        <v>886.69849947404634</v>
      </c>
      <c r="S513" s="317">
        <f t="shared" si="655"/>
        <v>518.1730313967148</v>
      </c>
      <c r="T513" s="317">
        <f t="shared" si="655"/>
        <v>0</v>
      </c>
      <c r="U513" s="317">
        <f t="shared" si="655"/>
        <v>738.04451279618468</v>
      </c>
      <c r="V513" s="317">
        <f t="shared" si="655"/>
        <v>563.02120886357613</v>
      </c>
      <c r="W513" s="317">
        <f t="shared" si="655"/>
        <v>10.091730811474937</v>
      </c>
      <c r="X513" s="316">
        <f t="shared" si="655"/>
        <v>838.37006804884027</v>
      </c>
      <c r="Y513" s="177"/>
      <c r="Z513" s="199">
        <f>AA513*AB513</f>
        <v>0</v>
      </c>
      <c r="AA513" s="237">
        <v>205.27592056082699</v>
      </c>
      <c r="AB513" s="237">
        <v>0</v>
      </c>
      <c r="AC513" s="216" t="s">
        <v>230</v>
      </c>
    </row>
    <row r="514" spans="1:34">
      <c r="A514" s="519" t="s">
        <v>28</v>
      </c>
      <c r="B514" s="510"/>
      <c r="C514" s="510"/>
      <c r="D514" s="510"/>
      <c r="E514" s="510"/>
      <c r="F514" s="510"/>
      <c r="G514" s="510"/>
      <c r="H514" s="510"/>
      <c r="I514" s="510"/>
      <c r="J514" s="510">
        <v>9</v>
      </c>
      <c r="K514" s="510">
        <v>180.5</v>
      </c>
      <c r="L514" s="510"/>
      <c r="M514" s="510">
        <v>75.5</v>
      </c>
      <c r="N514" s="510">
        <v>100.4</v>
      </c>
      <c r="O514" s="517">
        <v>0</v>
      </c>
      <c r="P514" s="512">
        <f t="shared" si="654"/>
        <v>365.4</v>
      </c>
      <c r="Q514" s="216" t="s">
        <v>21</v>
      </c>
      <c r="R514" s="317">
        <f t="shared" si="655"/>
        <v>0</v>
      </c>
      <c r="S514" s="317">
        <f t="shared" si="655"/>
        <v>390.55246669494602</v>
      </c>
      <c r="T514" s="317">
        <f t="shared" si="655"/>
        <v>0</v>
      </c>
      <c r="U514" s="317">
        <f t="shared" si="655"/>
        <v>555.60045141442811</v>
      </c>
      <c r="V514" s="317">
        <f t="shared" si="655"/>
        <v>324.24382607479811</v>
      </c>
      <c r="W514" s="317">
        <f t="shared" si="655"/>
        <v>9.9785898417265901</v>
      </c>
      <c r="X514" s="316">
        <f t="shared" si="655"/>
        <v>388.23927449666189</v>
      </c>
      <c r="Y514" s="177"/>
      <c r="AC514" s="451"/>
    </row>
    <row r="515" spans="1:34">
      <c r="A515" s="519" t="s">
        <v>29</v>
      </c>
      <c r="B515" s="510"/>
      <c r="C515" s="510"/>
      <c r="D515" s="510"/>
      <c r="E515" s="510"/>
      <c r="F515" s="510"/>
      <c r="G515" s="510"/>
      <c r="H515" s="510"/>
      <c r="I515" s="510"/>
      <c r="J515" s="510"/>
      <c r="K515" s="510">
        <v>46.5</v>
      </c>
      <c r="L515" s="510">
        <v>6.6</v>
      </c>
      <c r="M515" s="510">
        <v>69.3</v>
      </c>
      <c r="N515" s="510">
        <v>599.9</v>
      </c>
      <c r="O515" s="510">
        <v>1.9</v>
      </c>
      <c r="P515" s="512">
        <f t="shared" si="654"/>
        <v>724.19999999999993</v>
      </c>
      <c r="Q515" s="216" t="s">
        <v>23</v>
      </c>
      <c r="R515" s="317">
        <f t="shared" si="655"/>
        <v>0</v>
      </c>
      <c r="S515" s="317">
        <f t="shared" si="655"/>
        <v>0</v>
      </c>
      <c r="T515" s="317">
        <f t="shared" si="655"/>
        <v>0</v>
      </c>
      <c r="U515" s="317">
        <f t="shared" si="655"/>
        <v>0</v>
      </c>
      <c r="V515" s="317">
        <f t="shared" si="655"/>
        <v>0</v>
      </c>
      <c r="W515" s="317">
        <f t="shared" si="655"/>
        <v>0</v>
      </c>
      <c r="X515" s="316">
        <f t="shared" si="655"/>
        <v>0</v>
      </c>
      <c r="Y515" s="177"/>
    </row>
    <row r="516" spans="1:34">
      <c r="A516" s="519" t="s">
        <v>388</v>
      </c>
      <c r="B516" s="510"/>
      <c r="C516" s="510"/>
      <c r="D516" s="510"/>
      <c r="E516" s="510"/>
      <c r="F516" s="510"/>
      <c r="G516" s="510"/>
      <c r="H516" s="510"/>
      <c r="I516" s="510"/>
      <c r="J516" s="510"/>
      <c r="K516" s="510"/>
      <c r="L516" s="510"/>
      <c r="M516" s="510"/>
      <c r="N516" s="510"/>
      <c r="O516" s="510"/>
      <c r="P516" s="512"/>
      <c r="Q516" s="216"/>
      <c r="R516" s="317">
        <f t="shared" ref="R516:X516" si="656">IFERROR(R491/J472*1000000,0)</f>
        <v>0</v>
      </c>
      <c r="S516" s="317">
        <f t="shared" si="656"/>
        <v>0</v>
      </c>
      <c r="T516" s="317">
        <f t="shared" si="656"/>
        <v>0</v>
      </c>
      <c r="U516" s="317">
        <f t="shared" si="656"/>
        <v>0</v>
      </c>
      <c r="V516" s="317">
        <f t="shared" si="656"/>
        <v>0</v>
      </c>
      <c r="W516" s="317">
        <f t="shared" si="656"/>
        <v>0</v>
      </c>
      <c r="X516" s="316">
        <f t="shared" si="656"/>
        <v>0</v>
      </c>
      <c r="Y516" s="177"/>
      <c r="AA516" s="216"/>
      <c r="AB516" s="237"/>
      <c r="AC516" s="237"/>
      <c r="AE516" s="216"/>
      <c r="AF516" s="237"/>
      <c r="AG516" s="237"/>
      <c r="AH516" s="237"/>
    </row>
    <row r="517" spans="1:34">
      <c r="A517" s="223" t="s">
        <v>277</v>
      </c>
      <c r="J517" s="209">
        <f t="shared" ref="J517:O517" si="657">SUM(J518:J522)</f>
        <v>66.7</v>
      </c>
      <c r="K517" s="209">
        <f>SUM(K518:K522)</f>
        <v>15574.1</v>
      </c>
      <c r="L517" s="209">
        <f t="shared" si="657"/>
        <v>615.21</v>
      </c>
      <c r="M517" s="209">
        <f t="shared" si="657"/>
        <v>794.5</v>
      </c>
      <c r="N517" s="209">
        <f t="shared" si="657"/>
        <v>3870.66</v>
      </c>
      <c r="O517" s="209">
        <f t="shared" si="657"/>
        <v>1154.3</v>
      </c>
      <c r="P517" s="298">
        <f t="shared" ref="P517:P522" si="658">SUM(J517:O517)</f>
        <v>22075.47</v>
      </c>
      <c r="Q517" s="223" t="s">
        <v>24</v>
      </c>
      <c r="R517" s="316">
        <f t="shared" ref="R517:X522" si="659">IFERROR(R492/J473*1000000,0)</f>
        <v>420.0078492660092</v>
      </c>
      <c r="S517" s="316">
        <f t="shared" si="659"/>
        <v>355.21118064968596</v>
      </c>
      <c r="T517" s="316">
        <f t="shared" si="659"/>
        <v>1635.4171110016962</v>
      </c>
      <c r="U517" s="316">
        <f t="shared" si="659"/>
        <v>420.11093192006189</v>
      </c>
      <c r="V517" s="316">
        <f t="shared" si="659"/>
        <v>337.07147839194192</v>
      </c>
      <c r="W517" s="316">
        <f t="shared" si="659"/>
        <v>7.8198070152711878</v>
      </c>
      <c r="X517" s="316">
        <f t="shared" si="659"/>
        <v>366.73325337722338</v>
      </c>
      <c r="Y517" s="177"/>
      <c r="AA517" s="216"/>
      <c r="AB517" s="237"/>
      <c r="AC517" s="237"/>
      <c r="AE517" s="216"/>
      <c r="AF517" s="237"/>
      <c r="AG517" s="237"/>
      <c r="AH517" s="237"/>
    </row>
    <row r="518" spans="1:34">
      <c r="A518" s="216" t="s">
        <v>25</v>
      </c>
      <c r="K518">
        <v>2065.21</v>
      </c>
      <c r="L518">
        <v>34.81</v>
      </c>
      <c r="M518">
        <v>8.3000000000000007</v>
      </c>
      <c r="N518" s="177">
        <v>570.20000000000005</v>
      </c>
      <c r="O518" s="177">
        <v>1143.0999999999999</v>
      </c>
      <c r="P518" s="298">
        <f t="shared" si="658"/>
        <v>3821.6200000000003</v>
      </c>
      <c r="Q518" s="216" t="s">
        <v>25</v>
      </c>
      <c r="R518" s="317">
        <f t="shared" si="659"/>
        <v>0</v>
      </c>
      <c r="S518" s="317">
        <f t="shared" si="659"/>
        <v>327.86977882149017</v>
      </c>
      <c r="T518" s="317">
        <f t="shared" si="659"/>
        <v>1247.629855675825</v>
      </c>
      <c r="U518" s="317">
        <f t="shared" si="659"/>
        <v>438.96366477326796</v>
      </c>
      <c r="V518" s="317">
        <f t="shared" si="659"/>
        <v>312.6636894292696</v>
      </c>
      <c r="W518" s="317">
        <f t="shared" si="659"/>
        <v>7.814491488991087</v>
      </c>
      <c r="X518" s="316">
        <f t="shared" si="659"/>
        <v>234.1600805113348</v>
      </c>
      <c r="Y518" s="177"/>
      <c r="AA518" s="216"/>
      <c r="AB518" s="237"/>
      <c r="AC518" s="237"/>
    </row>
    <row r="519" spans="1:34">
      <c r="A519" s="216" t="s">
        <v>26</v>
      </c>
      <c r="K519">
        <v>1246.5999999999999</v>
      </c>
      <c r="M519">
        <v>91.6</v>
      </c>
      <c r="N519" s="177">
        <v>14</v>
      </c>
      <c r="O519" s="177">
        <v>1.2</v>
      </c>
      <c r="P519" s="298">
        <f t="shared" si="658"/>
        <v>1353.3999999999999</v>
      </c>
      <c r="Q519" s="216" t="s">
        <v>26</v>
      </c>
      <c r="R519" s="317">
        <f t="shared" si="659"/>
        <v>0</v>
      </c>
      <c r="S519" s="317">
        <f t="shared" si="659"/>
        <v>350.71079515914249</v>
      </c>
      <c r="T519" s="317">
        <f t="shared" si="659"/>
        <v>0</v>
      </c>
      <c r="U519" s="317">
        <f t="shared" si="659"/>
        <v>336.89800487693606</v>
      </c>
      <c r="V519" s="317">
        <f t="shared" si="659"/>
        <v>390.87156880341865</v>
      </c>
      <c r="W519" s="317">
        <f t="shared" si="659"/>
        <v>7.1988715065368574</v>
      </c>
      <c r="X519" s="316">
        <f t="shared" si="659"/>
        <v>349.6327036540518</v>
      </c>
      <c r="Y519" s="177"/>
      <c r="AA519" s="216"/>
      <c r="AB519" s="237"/>
      <c r="AC519" s="237"/>
      <c r="AE519" s="223"/>
      <c r="AF519" s="240"/>
      <c r="AG519" s="240"/>
      <c r="AH519" s="240"/>
    </row>
    <row r="520" spans="1:34">
      <c r="A520" s="216" t="s">
        <v>27</v>
      </c>
      <c r="J520">
        <v>54.7</v>
      </c>
      <c r="K520" s="177">
        <v>11780.55</v>
      </c>
      <c r="L520">
        <v>346.4</v>
      </c>
      <c r="M520">
        <v>482.4</v>
      </c>
      <c r="N520" s="177">
        <v>1315.25</v>
      </c>
      <c r="O520" s="177">
        <v>6.3</v>
      </c>
      <c r="P520" s="298">
        <f t="shared" si="658"/>
        <v>13985.599999999999</v>
      </c>
      <c r="Q520" s="216" t="s">
        <v>27</v>
      </c>
      <c r="R520" s="317">
        <f t="shared" si="659"/>
        <v>414.71716179252127</v>
      </c>
      <c r="S520" s="317">
        <f t="shared" si="659"/>
        <v>358.22809167533188</v>
      </c>
      <c r="T520" s="317">
        <f t="shared" si="659"/>
        <v>1575.2455263888271</v>
      </c>
      <c r="U520" s="317">
        <f t="shared" si="659"/>
        <v>441.40348134449499</v>
      </c>
      <c r="V520" s="317">
        <f t="shared" si="659"/>
        <v>262.14744116399305</v>
      </c>
      <c r="W520" s="317">
        <f t="shared" si="659"/>
        <v>8.2337786121761312</v>
      </c>
      <c r="X520" s="316">
        <f t="shared" si="659"/>
        <v>372.9409051970419</v>
      </c>
      <c r="Y520" s="177"/>
      <c r="AA520" s="216"/>
      <c r="AB520" s="237"/>
      <c r="AC520" s="237"/>
      <c r="AE520" s="239"/>
      <c r="AF520" s="215"/>
      <c r="AG520" s="237"/>
      <c r="AH520" s="237"/>
    </row>
    <row r="521" spans="1:34">
      <c r="A521" s="216" t="s">
        <v>28</v>
      </c>
      <c r="J521">
        <v>12</v>
      </c>
      <c r="K521">
        <v>276.54000000000002</v>
      </c>
      <c r="M521">
        <v>101.7</v>
      </c>
      <c r="N521" s="177">
        <v>205.71</v>
      </c>
      <c r="O521" s="177">
        <v>0</v>
      </c>
      <c r="P521" s="298">
        <f t="shared" si="658"/>
        <v>595.95000000000005</v>
      </c>
      <c r="Q521" s="216" t="s">
        <v>28</v>
      </c>
      <c r="R521" s="317">
        <f t="shared" si="659"/>
        <v>473.96247062002436</v>
      </c>
      <c r="S521" s="317">
        <f t="shared" si="659"/>
        <v>288.31723407477062</v>
      </c>
      <c r="T521" s="317">
        <f t="shared" si="659"/>
        <v>0</v>
      </c>
      <c r="U521" s="317">
        <f t="shared" si="659"/>
        <v>322.32687813210782</v>
      </c>
      <c r="V521" s="317">
        <f t="shared" si="659"/>
        <v>255.89584565608098</v>
      </c>
      <c r="W521" s="317">
        <f t="shared" si="659"/>
        <v>0</v>
      </c>
      <c r="X521" s="316">
        <f t="shared" si="659"/>
        <v>279.16896330232089</v>
      </c>
      <c r="AA521" s="216"/>
      <c r="AB521" s="237"/>
      <c r="AC521" s="237"/>
      <c r="AE521" s="239"/>
      <c r="AF521" s="215"/>
      <c r="AG521" s="237"/>
      <c r="AH521" s="237"/>
    </row>
    <row r="522" spans="1:34">
      <c r="A522" s="216" t="s">
        <v>29</v>
      </c>
      <c r="K522">
        <v>205.2</v>
      </c>
      <c r="L522">
        <v>234</v>
      </c>
      <c r="M522">
        <v>110.5</v>
      </c>
      <c r="N522">
        <v>1765.5</v>
      </c>
      <c r="O522">
        <v>3.7</v>
      </c>
      <c r="P522" s="298">
        <f t="shared" si="658"/>
        <v>2318.8999999999996</v>
      </c>
      <c r="Q522" s="216" t="s">
        <v>29</v>
      </c>
      <c r="R522" s="317">
        <f t="shared" si="659"/>
        <v>0</v>
      </c>
      <c r="S522" s="317">
        <f t="shared" si="659"/>
        <v>549.57220069125958</v>
      </c>
      <c r="T522" s="317">
        <f t="shared" si="659"/>
        <v>1788.1691632703732</v>
      </c>
      <c r="U522" s="317">
        <f t="shared" si="659"/>
        <v>485.79458840432056</v>
      </c>
      <c r="V522" s="317">
        <f t="shared" si="659"/>
        <v>508.81274311711667</v>
      </c>
      <c r="W522" s="317">
        <f t="shared" si="659"/>
        <v>10.812727187322233</v>
      </c>
      <c r="X522" s="316">
        <f t="shared" si="659"/>
        <v>727.72813560753661</v>
      </c>
      <c r="AA522" s="216"/>
      <c r="AB522" s="237"/>
      <c r="AC522" s="237"/>
      <c r="AE522" s="239"/>
      <c r="AF522" s="215"/>
      <c r="AG522" s="237"/>
      <c r="AH522" s="237"/>
    </row>
    <row r="523" spans="1:34">
      <c r="A523" s="216" t="s">
        <v>388</v>
      </c>
      <c r="P523" s="298"/>
      <c r="Q523" s="216"/>
      <c r="R523" s="317">
        <f t="shared" ref="R523:X523" si="660">IFERROR(R498/J479*1000000,0)</f>
        <v>0</v>
      </c>
      <c r="S523" s="317">
        <f t="shared" si="660"/>
        <v>0</v>
      </c>
      <c r="T523" s="317">
        <f t="shared" si="660"/>
        <v>0</v>
      </c>
      <c r="U523" s="317">
        <f t="shared" si="660"/>
        <v>0</v>
      </c>
      <c r="V523" s="317">
        <f t="shared" si="660"/>
        <v>0</v>
      </c>
      <c r="W523" s="317">
        <f t="shared" si="660"/>
        <v>0</v>
      </c>
      <c r="X523" s="316">
        <f t="shared" si="660"/>
        <v>0</v>
      </c>
      <c r="AA523" s="216"/>
      <c r="AB523" s="237"/>
      <c r="AC523" s="237"/>
      <c r="AE523" s="216"/>
      <c r="AF523" s="215"/>
      <c r="AG523" s="456"/>
      <c r="AH523" s="456"/>
    </row>
    <row r="524" spans="1:34">
      <c r="Q524" s="223" t="s">
        <v>10</v>
      </c>
      <c r="R524" s="316">
        <f t="shared" ref="R524:X524" si="661">R499/J480*1000000</f>
        <v>884.45535712721107</v>
      </c>
      <c r="S524" s="316">
        <f>S499/K480*1000000</f>
        <v>369.32797179917577</v>
      </c>
      <c r="T524" s="316">
        <f t="shared" si="661"/>
        <v>1635.2611008482413</v>
      </c>
      <c r="U524" s="316">
        <f t="shared" si="661"/>
        <v>527.26922681090946</v>
      </c>
      <c r="V524" s="316">
        <f t="shared" si="661"/>
        <v>384.80015080775547</v>
      </c>
      <c r="W524" s="316">
        <f t="shared" si="661"/>
        <v>8.8932671712576035</v>
      </c>
      <c r="X524" s="225">
        <f t="shared" si="661"/>
        <v>450.92375487230095</v>
      </c>
      <c r="AA524" s="216"/>
      <c r="AB524" s="237"/>
      <c r="AC524" s="237"/>
      <c r="AE524" s="216"/>
      <c r="AF524" s="215"/>
      <c r="AG524" s="456"/>
      <c r="AH524" s="456"/>
    </row>
    <row r="525" spans="1:34">
      <c r="J525" s="90">
        <f t="shared" ref="J525:O525" si="662">IFERROR((J473/11.63+J510)/J517,"")</f>
        <v>0.87205580356855106</v>
      </c>
      <c r="K525" s="90">
        <f t="shared" si="662"/>
        <v>0.65860959392184415</v>
      </c>
      <c r="L525" s="90">
        <f t="shared" si="662"/>
        <v>0.44360248441475486</v>
      </c>
      <c r="M525" s="90">
        <f t="shared" si="662"/>
        <v>0.7732525904934342</v>
      </c>
      <c r="N525" s="90">
        <f t="shared" si="662"/>
        <v>0.58534041748093124</v>
      </c>
      <c r="O525" s="90">
        <f t="shared" si="662"/>
        <v>0.58904053772096987</v>
      </c>
      <c r="P525" s="301">
        <f>P517-('5-x'!$X$82+'5-x'!$X$84)</f>
        <v>0</v>
      </c>
      <c r="R525" s="361">
        <f>'12'!AD6</f>
        <v>884.45511791307888</v>
      </c>
      <c r="S525" s="361">
        <f>'12'!AD7</f>
        <v>369.32804432752994</v>
      </c>
      <c r="T525" s="234"/>
      <c r="U525" s="234"/>
      <c r="V525" s="234"/>
      <c r="W525" s="234"/>
      <c r="X525" s="226">
        <f>'12'!AD11</f>
        <v>449.51733448035259</v>
      </c>
      <c r="AE525" s="223"/>
      <c r="AF525" s="240"/>
      <c r="AG525" s="240"/>
      <c r="AH525" s="240"/>
    </row>
    <row r="526" spans="1:34">
      <c r="J526" s="90" t="str">
        <f t="shared" ref="J526:O526" si="663">IFERROR((J474/11.63+J511)/J518,"")</f>
        <v/>
      </c>
      <c r="K526" s="90">
        <f t="shared" si="663"/>
        <v>0.72981142039219671</v>
      </c>
      <c r="L526" s="90">
        <f t="shared" si="663"/>
        <v>0.61275026226390994</v>
      </c>
      <c r="M526" s="90">
        <f t="shared" si="663"/>
        <v>0.69061111168664335</v>
      </c>
      <c r="N526" s="90">
        <f t="shared" si="663"/>
        <v>0.65584430859968879</v>
      </c>
      <c r="O526" s="90">
        <f t="shared" si="663"/>
        <v>0.58867737811218113</v>
      </c>
      <c r="P526" s="305">
        <f>(P492/41.868)-'5-x'!$X$82</f>
        <v>-9.8494076701172162E-4</v>
      </c>
      <c r="R526" s="555">
        <f>R524-R525</f>
        <v>2.3921413219341048E-4</v>
      </c>
      <c r="S526" s="555">
        <f>S524-S525</f>
        <v>-7.252835416693415E-5</v>
      </c>
      <c r="T526" s="202"/>
      <c r="U526" s="202"/>
      <c r="V526" s="202"/>
      <c r="W526" s="202"/>
      <c r="X526" s="555">
        <f>X524-X525</f>
        <v>1.4064203919483589</v>
      </c>
      <c r="AE526" s="216"/>
      <c r="AF526" s="215"/>
      <c r="AG526" s="237"/>
      <c r="AH526" s="237"/>
    </row>
    <row r="527" spans="1:34">
      <c r="J527" s="90" t="str">
        <f t="shared" ref="J527:O527" si="664">IFERROR((J475/11.63+J512)/J519,"")</f>
        <v/>
      </c>
      <c r="K527" s="90">
        <f t="shared" si="664"/>
        <v>0.73539197727017835</v>
      </c>
      <c r="L527" s="90" t="str">
        <f t="shared" si="664"/>
        <v/>
      </c>
      <c r="M527" s="90">
        <f t="shared" si="664"/>
        <v>0.82358247567839526</v>
      </c>
      <c r="N527" s="90">
        <f t="shared" si="664"/>
        <v>0.74219383368136593</v>
      </c>
      <c r="O527" s="90">
        <f t="shared" si="664"/>
        <v>0.7104471195184866</v>
      </c>
      <c r="P527" s="305">
        <f>(P485/41.868)-'5-x'!$X$83</f>
        <v>-4.8170440422836691E-3</v>
      </c>
      <c r="AE527" s="216"/>
      <c r="AF527" s="215"/>
      <c r="AG527" s="237"/>
      <c r="AH527" s="237"/>
    </row>
    <row r="528" spans="1:34">
      <c r="J528" s="90">
        <f t="shared" ref="J528:O528" si="665">IFERROR((J476/11.63+J513)/J520,"")</f>
        <v>0.87962324002886061</v>
      </c>
      <c r="K528" s="90">
        <f t="shared" si="665"/>
        <v>0.63606393377766646</v>
      </c>
      <c r="L528" s="90">
        <f t="shared" si="665"/>
        <v>0.47405769501905365</v>
      </c>
      <c r="M528" s="90">
        <f t="shared" si="665"/>
        <v>0.74222324890309133</v>
      </c>
      <c r="N528" s="90">
        <f t="shared" si="665"/>
        <v>0.6099306321782817</v>
      </c>
      <c r="O528" s="90">
        <f t="shared" si="665"/>
        <v>0.58417611814000459</v>
      </c>
      <c r="AE528" s="216"/>
      <c r="AF528" s="215"/>
      <c r="AG528" s="237"/>
      <c r="AH528" s="237"/>
    </row>
    <row r="529" spans="1:34">
      <c r="J529" s="90">
        <f t="shared" ref="J529:O529" si="666">IFERROR((J477/11.63+J514)/J521,"")</f>
        <v>0.83756090570363995</v>
      </c>
      <c r="K529" s="90">
        <f t="shared" si="666"/>
        <v>0.85143302252170139</v>
      </c>
      <c r="L529" s="90" t="str">
        <f t="shared" si="666"/>
        <v/>
      </c>
      <c r="M529" s="90">
        <f t="shared" si="666"/>
        <v>0.87496649816405703</v>
      </c>
      <c r="N529" s="90">
        <f t="shared" si="666"/>
        <v>0.75738441359880482</v>
      </c>
      <c r="O529" s="90" t="str">
        <f t="shared" si="666"/>
        <v/>
      </c>
      <c r="AE529" s="216"/>
      <c r="AF529" s="215"/>
      <c r="AG529" s="237"/>
      <c r="AH529" s="237"/>
    </row>
    <row r="530" spans="1:34">
      <c r="J530" s="90" t="str">
        <f t="shared" ref="J530:O531" si="667">IFERROR((J478/11.63+J515)/J522,"")</f>
        <v/>
      </c>
      <c r="K530" s="90">
        <f t="shared" si="667"/>
        <v>0.51003865113246472</v>
      </c>
      <c r="L530" s="90">
        <f t="shared" si="667"/>
        <v>0.37335582159313879</v>
      </c>
      <c r="M530" s="90">
        <f t="shared" si="667"/>
        <v>0.77958704084848429</v>
      </c>
      <c r="N530" s="90">
        <f t="shared" si="667"/>
        <v>0.52296108195851843</v>
      </c>
      <c r="O530" s="90">
        <f>IFERROR((O478/11.63+O515)/O522,"")</f>
        <v>0.67014477934512329</v>
      </c>
    </row>
    <row r="531" spans="1:34">
      <c r="J531" s="90" t="str">
        <f t="shared" si="667"/>
        <v/>
      </c>
      <c r="K531" s="90" t="str">
        <f t="shared" si="667"/>
        <v/>
      </c>
      <c r="L531" s="90" t="str">
        <f t="shared" si="667"/>
        <v/>
      </c>
      <c r="M531" s="90" t="str">
        <f t="shared" si="667"/>
        <v/>
      </c>
      <c r="N531" s="90" t="str">
        <f t="shared" si="667"/>
        <v/>
      </c>
      <c r="O531" s="90" t="str">
        <f t="shared" si="667"/>
        <v/>
      </c>
    </row>
    <row r="532" spans="1:34">
      <c r="A532" s="68" t="str">
        <f>$A$464</f>
        <v>Dati 2018 lorda</v>
      </c>
      <c r="J532" s="520">
        <f t="shared" ref="J532:P532" si="668">(J510*11.63)/(J473)</f>
        <v>3.9435252850043852</v>
      </c>
      <c r="K532" s="520">
        <f t="shared" si="668"/>
        <v>0.47049957509145945</v>
      </c>
      <c r="L532" s="520">
        <f t="shared" si="668"/>
        <v>0.27343735581224599</v>
      </c>
      <c r="M532" s="520">
        <f t="shared" si="668"/>
        <v>2.3452323207730918</v>
      </c>
      <c r="N532" s="520">
        <f t="shared" si="668"/>
        <v>0.93554013136921021</v>
      </c>
      <c r="O532" s="520">
        <f t="shared" si="668"/>
        <v>0.4592969609283305</v>
      </c>
      <c r="P532" s="520">
        <f t="shared" si="668"/>
        <v>0.56827207549928405</v>
      </c>
    </row>
    <row r="533" spans="1:34">
      <c r="A533" s="68" t="s">
        <v>281</v>
      </c>
      <c r="B533" s="68"/>
      <c r="C533" s="68"/>
      <c r="D533" s="68"/>
      <c r="E533" s="68"/>
      <c r="J533" s="479">
        <v>0.20591314961486873</v>
      </c>
      <c r="K533" s="479">
        <v>8.8888557903026282</v>
      </c>
      <c r="L533" s="479">
        <v>0.40485007453500621</v>
      </c>
      <c r="M533" s="658">
        <v>1.2202797868340238</v>
      </c>
      <c r="N533" s="657">
        <v>2.0026946676726336</v>
      </c>
      <c r="O533" s="657">
        <v>1.4064806443259831E-3</v>
      </c>
      <c r="P533" s="632">
        <f>SUM(J533:O533)</f>
        <v>12.723999949603485</v>
      </c>
      <c r="Q533" t="s">
        <v>402</v>
      </c>
    </row>
    <row r="534" spans="1:34">
      <c r="A534" t="s">
        <v>282</v>
      </c>
      <c r="J534" s="211">
        <f t="shared" ref="J534:O534" si="669">J533/(J510*11.63)*1000000</f>
        <v>381.58068760723734</v>
      </c>
      <c r="K534" s="211">
        <f t="shared" si="669"/>
        <v>232.88461660679565</v>
      </c>
      <c r="L534" s="211">
        <f t="shared" si="669"/>
        <v>594.04164605337826</v>
      </c>
      <c r="M534" s="211">
        <f t="shared" si="669"/>
        <v>243.61545190666712</v>
      </c>
      <c r="N534" s="211">
        <f t="shared" si="669"/>
        <v>157.24659417924855</v>
      </c>
      <c r="O534" s="211">
        <f t="shared" si="669"/>
        <v>0.56511947200921842</v>
      </c>
      <c r="P534" s="211">
        <f>P533/(P510*11.63)*1000000</f>
        <v>213.40571197738365</v>
      </c>
    </row>
    <row r="536" spans="1:34">
      <c r="A536" s="68" t="s">
        <v>283</v>
      </c>
      <c r="J536" s="323">
        <f t="shared" ref="J536:P536" si="670">J533+R492</f>
        <v>0.26338702370842942</v>
      </c>
      <c r="K536" s="323">
        <f t="shared" si="670"/>
        <v>37.704773169948524</v>
      </c>
      <c r="L536" s="323">
        <f t="shared" si="670"/>
        <v>4.480980036166744</v>
      </c>
      <c r="M536" s="323">
        <f t="shared" si="670"/>
        <v>2.1175695196661684</v>
      </c>
      <c r="N536" s="323">
        <f t="shared" si="670"/>
        <v>6.5914307216204708</v>
      </c>
      <c r="O536" s="323">
        <f t="shared" si="670"/>
        <v>4.3780138106396881E-2</v>
      </c>
      <c r="P536" s="323">
        <f t="shared" si="670"/>
        <v>51.201920609216728</v>
      </c>
    </row>
    <row r="537" spans="1:34">
      <c r="A537" t="s">
        <v>284</v>
      </c>
      <c r="J537" s="208">
        <f>J536/((J510*11.63)+J473)*1000000</f>
        <v>389.35391813471864</v>
      </c>
      <c r="K537" s="208">
        <f t="shared" ref="K537:P537" si="671">K536/((K510*11.63)+K473)*1000000</f>
        <v>316.0716954165818</v>
      </c>
      <c r="L537" s="208">
        <f t="shared" si="671"/>
        <v>1411.8089749253115</v>
      </c>
      <c r="M537" s="208">
        <f t="shared" si="671"/>
        <v>296.37575764609215</v>
      </c>
      <c r="N537" s="208">
        <f t="shared" si="671"/>
        <v>250.15341708530963</v>
      </c>
      <c r="O537" s="208">
        <f t="shared" si="671"/>
        <v>5.5364774186788983</v>
      </c>
      <c r="P537" s="208">
        <f t="shared" si="671"/>
        <v>311.17416924652525</v>
      </c>
    </row>
    <row r="538" spans="1:34">
      <c r="J538" s="211" t="str">
        <f>IFERROR((J$534*J509*11.63/1000000+R491)/(J509*11.63+J472)*1000000,"")</f>
        <v/>
      </c>
      <c r="K538" s="198"/>
      <c r="L538" s="198"/>
      <c r="M538" s="198"/>
      <c r="N538" s="198"/>
      <c r="O538" s="198"/>
      <c r="P538" s="198"/>
    </row>
    <row r="539" spans="1:34">
      <c r="A539" t="s">
        <v>285</v>
      </c>
      <c r="J539" s="314">
        <f>IFERROR((J534*J510*11.63/1000000+R492)/(J510*11.63+J473)*1000000,"")</f>
        <v>389.35391813471864</v>
      </c>
      <c r="K539" s="314">
        <f t="shared" ref="K539:P539" si="672">IFERROR((K534*K510*11.63/1000000+S492)/(K510*11.63+K473)*1000000,"")</f>
        <v>316.0716954165818</v>
      </c>
      <c r="L539" s="314">
        <f t="shared" si="672"/>
        <v>1411.8089749253115</v>
      </c>
      <c r="M539" s="314">
        <f t="shared" si="672"/>
        <v>296.37575764609215</v>
      </c>
      <c r="N539" s="314">
        <f t="shared" si="672"/>
        <v>250.15341708530963</v>
      </c>
      <c r="O539" s="314">
        <f t="shared" si="672"/>
        <v>5.5364774186788983</v>
      </c>
      <c r="P539" s="314">
        <f t="shared" si="672"/>
        <v>311.17416924652525</v>
      </c>
      <c r="R539" s="285">
        <f t="shared" ref="R539:X540" si="673">IFERROR(J539/R517-1,"")</f>
        <v>-7.298418633094661E-2</v>
      </c>
      <c r="S539" s="285">
        <f t="shared" si="673"/>
        <v>-0.11018652386312144</v>
      </c>
      <c r="T539" s="285">
        <f t="shared" si="673"/>
        <v>-0.13672850465617559</v>
      </c>
      <c r="U539" s="285">
        <f t="shared" si="673"/>
        <v>-0.29452976552753429</v>
      </c>
      <c r="V539" s="285">
        <f t="shared" si="673"/>
        <v>-0.25786240272030736</v>
      </c>
      <c r="W539" s="285">
        <f t="shared" si="673"/>
        <v>-0.29199308782597932</v>
      </c>
      <c r="X539" s="285">
        <f t="shared" si="673"/>
        <v>-0.15149726298081245</v>
      </c>
      <c r="AE539" s="216"/>
      <c r="AF539" s="215"/>
      <c r="AG539" s="237"/>
      <c r="AH539" s="237"/>
    </row>
    <row r="540" spans="1:34">
      <c r="A540" s="216" t="s">
        <v>25</v>
      </c>
      <c r="J540" s="211" t="str">
        <f t="shared" ref="J540:P540" si="674">IFERROR((J534*J511*11.63/1000000+R493)/(J511*11.63+J474)*1000000,"")</f>
        <v/>
      </c>
      <c r="K540" s="211">
        <f t="shared" si="674"/>
        <v>285.52639751104147</v>
      </c>
      <c r="L540" s="211">
        <f t="shared" si="674"/>
        <v>996.36570339838977</v>
      </c>
      <c r="M540" s="211">
        <f t="shared" si="674"/>
        <v>343.54005977224813</v>
      </c>
      <c r="N540" s="211">
        <f t="shared" si="674"/>
        <v>223.6846961144486</v>
      </c>
      <c r="O540" s="211">
        <f t="shared" si="674"/>
        <v>5.5499956495463527</v>
      </c>
      <c r="P540" s="211">
        <f t="shared" si="674"/>
        <v>225.25738606780621</v>
      </c>
      <c r="R540" s="284" t="str">
        <f t="shared" si="673"/>
        <v/>
      </c>
      <c r="S540" s="284">
        <f t="shared" si="673"/>
        <v>-0.12914694810436522</v>
      </c>
      <c r="T540" s="284">
        <f t="shared" si="673"/>
        <v>-0.2013931865563835</v>
      </c>
      <c r="U540" s="284">
        <f t="shared" si="673"/>
        <v>-0.21738383528920946</v>
      </c>
      <c r="V540" s="284">
        <f t="shared" si="673"/>
        <v>-0.28458371190220899</v>
      </c>
      <c r="W540" s="284">
        <f t="shared" si="673"/>
        <v>-0.28978159905029199</v>
      </c>
      <c r="X540" s="284">
        <f t="shared" si="673"/>
        <v>-3.801969329737076E-2</v>
      </c>
    </row>
    <row r="541" spans="1:34">
      <c r="A541" s="216" t="s">
        <v>26</v>
      </c>
      <c r="J541" s="211" t="str">
        <f t="shared" ref="J541:P541" si="675">IFERROR((J534*J512*11.63/1000000+R494)/(J512*11.63+J475)*1000000,"")</f>
        <v/>
      </c>
      <c r="K541" s="211">
        <f t="shared" si="675"/>
        <v>283.69659953293996</v>
      </c>
      <c r="L541" s="211" t="str">
        <f t="shared" si="675"/>
        <v/>
      </c>
      <c r="M541" s="211">
        <f t="shared" si="675"/>
        <v>279.64756291312403</v>
      </c>
      <c r="N541" s="211">
        <f t="shared" si="675"/>
        <v>193.01222615557464</v>
      </c>
      <c r="O541" s="211">
        <f t="shared" si="675"/>
        <v>3.30827462496568</v>
      </c>
      <c r="P541" s="211">
        <f t="shared" si="675"/>
        <v>271.29787301703215</v>
      </c>
      <c r="R541" s="284" t="str">
        <f>IFERROR(J541/R519-1,"")</f>
        <v/>
      </c>
      <c r="S541" s="284">
        <f t="shared" ref="S541:X545" si="676">IFERROR(K541/S519-1,"")</f>
        <v>-0.1910810746381314</v>
      </c>
      <c r="T541" s="284" t="str">
        <f t="shared" si="676"/>
        <v/>
      </c>
      <c r="U541" s="284">
        <f t="shared" si="676"/>
        <v>-0.16993404868848894</v>
      </c>
      <c r="V541" s="284">
        <f t="shared" si="676"/>
        <v>-0.5062003953205243</v>
      </c>
      <c r="W541" s="284">
        <f t="shared" si="676"/>
        <v>-0.5404453848132118</v>
      </c>
      <c r="X541" s="284">
        <f t="shared" si="676"/>
        <v>-0.22404892282195943</v>
      </c>
    </row>
    <row r="542" spans="1:34">
      <c r="A542" s="216" t="s">
        <v>27</v>
      </c>
      <c r="J542" s="211">
        <f t="shared" ref="J542:P542" si="677">IFERROR((J534*J513*11.63/1000000+R495)/(J513*11.63+J476)*1000000,"")</f>
        <v>388.96024487135611</v>
      </c>
      <c r="K542" s="211">
        <f t="shared" si="677"/>
        <v>327.08786542380642</v>
      </c>
      <c r="L542" s="211">
        <f t="shared" si="677"/>
        <v>1313.5331363113135</v>
      </c>
      <c r="M542" s="211">
        <f t="shared" si="677"/>
        <v>310.59381173410418</v>
      </c>
      <c r="N542" s="211">
        <f t="shared" si="677"/>
        <v>239.66900386633867</v>
      </c>
      <c r="O542" s="211">
        <f t="shared" si="677"/>
        <v>5.316599318680554</v>
      </c>
      <c r="P542" s="211">
        <f t="shared" si="677"/>
        <v>330.61919746885633</v>
      </c>
      <c r="R542" s="284">
        <f>IFERROR(J542/R520-1,"")</f>
        <v>-6.2107188450646E-2</v>
      </c>
      <c r="S542" s="284">
        <f t="shared" si="676"/>
        <v>-8.6928487673569643E-2</v>
      </c>
      <c r="T542" s="284">
        <f t="shared" si="676"/>
        <v>-0.16614069723941793</v>
      </c>
      <c r="U542" s="284">
        <f t="shared" si="676"/>
        <v>-0.29634942889881721</v>
      </c>
      <c r="V542" s="284">
        <f t="shared" si="676"/>
        <v>-8.574730769007366E-2</v>
      </c>
      <c r="W542" s="284">
        <f t="shared" si="676"/>
        <v>-0.35429411341976647</v>
      </c>
      <c r="X542" s="284">
        <f t="shared" si="676"/>
        <v>-0.11348100232079683</v>
      </c>
    </row>
    <row r="543" spans="1:34">
      <c r="A543" s="216" t="s">
        <v>28</v>
      </c>
      <c r="J543" s="211">
        <f t="shared" ref="J543:P543" si="678">IFERROR((J534*J514*11.63/1000000+R496)/(J514*11.63+J477)*1000000,"")</f>
        <v>391.23853163509483</v>
      </c>
      <c r="K543" s="211">
        <f t="shared" si="678"/>
        <v>245.82259513116233</v>
      </c>
      <c r="L543" s="211" t="str">
        <f t="shared" si="678"/>
        <v/>
      </c>
      <c r="M543" s="211">
        <f t="shared" si="678"/>
        <v>255.54288912014849</v>
      </c>
      <c r="N543" s="211">
        <f t="shared" si="678"/>
        <v>192.32532923230275</v>
      </c>
      <c r="O543" s="211" t="str">
        <f t="shared" si="678"/>
        <v/>
      </c>
      <c r="P543" s="211">
        <f t="shared" si="678"/>
        <v>230.1575400638049</v>
      </c>
      <c r="R543" s="284">
        <f>IFERROR(J543/R521-1,"")</f>
        <v>-0.1745368971444351</v>
      </c>
      <c r="S543" s="284">
        <f t="shared" si="676"/>
        <v>-0.14738848019257833</v>
      </c>
      <c r="T543" s="284" t="str">
        <f t="shared" si="676"/>
        <v/>
      </c>
      <c r="U543" s="284">
        <f t="shared" si="676"/>
        <v>-0.20719336035199487</v>
      </c>
      <c r="V543" s="284">
        <f t="shared" si="676"/>
        <v>-0.24842340156321163</v>
      </c>
      <c r="W543" s="284" t="str">
        <f t="shared" si="676"/>
        <v/>
      </c>
      <c r="X543" s="284">
        <f t="shared" si="676"/>
        <v>-0.17556186281868291</v>
      </c>
    </row>
    <row r="544" spans="1:34">
      <c r="A544" s="216" t="s">
        <v>29</v>
      </c>
      <c r="J544" s="211" t="str">
        <f t="shared" ref="J544:P544" si="679">IFERROR((J534*J515*11.63/1000000+R497)/(J515*11.63+J478)*1000000,"")</f>
        <v/>
      </c>
      <c r="K544" s="211">
        <f t="shared" si="679"/>
        <v>408.86913993685482</v>
      </c>
      <c r="L544" s="211">
        <f t="shared" si="679"/>
        <v>1697.9589193999032</v>
      </c>
      <c r="M544" s="211">
        <f t="shared" si="679"/>
        <v>290.97031206152951</v>
      </c>
      <c r="N544" s="211">
        <f t="shared" si="679"/>
        <v>280.38501452920559</v>
      </c>
      <c r="O544" s="211">
        <f t="shared" si="679"/>
        <v>2.9602672336075022</v>
      </c>
      <c r="P544" s="211">
        <f t="shared" si="679"/>
        <v>418.34954350406593</v>
      </c>
      <c r="R544" s="284" t="str">
        <f>IFERROR(J544/R522-1,"")</f>
        <v/>
      </c>
      <c r="S544" s="284">
        <f t="shared" si="676"/>
        <v>-0.25602288575991738</v>
      </c>
      <c r="T544" s="284">
        <f t="shared" si="676"/>
        <v>-5.0448383588879819E-2</v>
      </c>
      <c r="U544" s="284">
        <f t="shared" si="676"/>
        <v>-0.40104250025247568</v>
      </c>
      <c r="V544" s="284">
        <f t="shared" si="676"/>
        <v>-0.44894262511686434</v>
      </c>
      <c r="W544" s="284">
        <f t="shared" si="676"/>
        <v>-0.72622381178003148</v>
      </c>
      <c r="X544" s="284">
        <f t="shared" si="676"/>
        <v>-0.42512935389695905</v>
      </c>
    </row>
    <row r="545" spans="1:43">
      <c r="A545" s="216" t="s">
        <v>388</v>
      </c>
      <c r="J545" s="211" t="str">
        <f t="shared" ref="J545:P545" si="680">IFERROR((J$534*J516*11.63/1000000+R498)/(J516*11.63+J479)*1000000,"")</f>
        <v/>
      </c>
      <c r="K545" s="211" t="str">
        <f t="shared" si="680"/>
        <v/>
      </c>
      <c r="L545" s="211" t="str">
        <f t="shared" si="680"/>
        <v/>
      </c>
      <c r="M545" s="211" t="str">
        <f t="shared" si="680"/>
        <v/>
      </c>
      <c r="N545" s="211" t="str">
        <f t="shared" si="680"/>
        <v/>
      </c>
      <c r="O545" s="211" t="str">
        <f t="shared" si="680"/>
        <v/>
      </c>
      <c r="P545" s="211" t="str">
        <f t="shared" si="680"/>
        <v/>
      </c>
      <c r="R545" s="284" t="str">
        <f>IFERROR(J545/R523-1,"")</f>
        <v/>
      </c>
      <c r="S545" s="284" t="str">
        <f t="shared" si="676"/>
        <v/>
      </c>
      <c r="T545" s="284" t="str">
        <f t="shared" si="676"/>
        <v/>
      </c>
      <c r="U545" s="284" t="str">
        <f t="shared" si="676"/>
        <v/>
      </c>
      <c r="V545" s="284" t="str">
        <f t="shared" si="676"/>
        <v/>
      </c>
      <c r="W545" s="284" t="str">
        <f t="shared" si="676"/>
        <v/>
      </c>
      <c r="X545" s="284" t="str">
        <f t="shared" si="676"/>
        <v/>
      </c>
    </row>
    <row r="546" spans="1:43">
      <c r="J546" s="211"/>
      <c r="K546" s="211"/>
      <c r="L546" s="211"/>
      <c r="M546" s="211"/>
      <c r="N546" s="211"/>
      <c r="O546" s="211"/>
      <c r="P546" s="211"/>
    </row>
    <row r="547" spans="1:43">
      <c r="J547" s="211"/>
      <c r="K547" s="211"/>
      <c r="L547" s="211"/>
      <c r="M547" s="211"/>
      <c r="N547" s="211"/>
      <c r="O547" s="211"/>
      <c r="P547" s="211"/>
    </row>
    <row r="548" spans="1:43">
      <c r="J548" s="211"/>
      <c r="K548" s="211"/>
      <c r="L548" s="211"/>
      <c r="M548" s="211"/>
      <c r="N548" s="211"/>
      <c r="O548" s="211"/>
      <c r="P548" s="211"/>
    </row>
    <row r="549" spans="1:43">
      <c r="J549" s="211"/>
      <c r="K549" s="211"/>
      <c r="L549" s="211"/>
      <c r="M549" s="211"/>
      <c r="N549" s="211"/>
      <c r="O549" s="211"/>
      <c r="P549" s="211"/>
    </row>
    <row r="550" spans="1:43">
      <c r="J550" s="211"/>
      <c r="K550" s="211"/>
      <c r="L550" s="211"/>
      <c r="M550" s="211"/>
      <c r="N550" s="211"/>
      <c r="O550" s="211"/>
      <c r="P550" s="211"/>
    </row>
    <row r="551" spans="1:43">
      <c r="J551" s="211"/>
      <c r="K551" s="211"/>
      <c r="L551" s="211"/>
      <c r="M551" s="211"/>
      <c r="N551" s="211"/>
      <c r="O551" s="211"/>
      <c r="P551" s="211"/>
    </row>
    <row r="555" spans="1:43">
      <c r="J555" s="196">
        <f t="shared" ref="J555:P555" si="681">J604*((J564/11.63)/((J564/11.63)+J598))*41.868</f>
        <v>571.70944229969712</v>
      </c>
      <c r="K555" s="196">
        <f t="shared" si="681"/>
        <v>476804.91495306388</v>
      </c>
      <c r="L555" s="196">
        <f t="shared" si="681"/>
        <v>17354.70829658808</v>
      </c>
      <c r="M555" s="196">
        <f t="shared" si="681"/>
        <v>10094.484463661312</v>
      </c>
      <c r="N555" s="196">
        <f t="shared" si="681"/>
        <v>80882.831186835436</v>
      </c>
      <c r="O555" s="196">
        <f t="shared" si="681"/>
        <v>32439.454019112909</v>
      </c>
      <c r="P555" s="196">
        <f t="shared" si="681"/>
        <v>617366.03165745677</v>
      </c>
    </row>
    <row r="556" spans="1:43">
      <c r="A556" s="68" t="s">
        <v>375</v>
      </c>
      <c r="J556" s="68" t="s">
        <v>199</v>
      </c>
      <c r="R556" s="68" t="s">
        <v>136</v>
      </c>
      <c r="S556" s="68"/>
      <c r="AJ556" s="68" t="s">
        <v>288</v>
      </c>
    </row>
    <row r="557" spans="1:43" ht="15.6">
      <c r="A557" s="68"/>
      <c r="J557" s="210" t="s">
        <v>5</v>
      </c>
      <c r="K557" s="210" t="s">
        <v>210</v>
      </c>
      <c r="L557" s="210" t="s">
        <v>211</v>
      </c>
      <c r="M557" s="210" t="s">
        <v>214</v>
      </c>
      <c r="N557" s="210" t="s">
        <v>216</v>
      </c>
      <c r="O557" s="210" t="s">
        <v>215</v>
      </c>
      <c r="P557" s="210" t="s">
        <v>213</v>
      </c>
      <c r="Q557" s="2"/>
      <c r="R557" s="210" t="s">
        <v>5</v>
      </c>
      <c r="S557" s="210" t="s">
        <v>210</v>
      </c>
      <c r="T557" s="210" t="s">
        <v>211</v>
      </c>
      <c r="U557" s="210" t="s">
        <v>214</v>
      </c>
      <c r="V557" s="210" t="s">
        <v>216</v>
      </c>
      <c r="W557" s="210" t="s">
        <v>215</v>
      </c>
      <c r="X557" s="210" t="s">
        <v>213</v>
      </c>
      <c r="AA557" s="68" t="s">
        <v>218</v>
      </c>
      <c r="AB557" s="213" t="s">
        <v>217</v>
      </c>
      <c r="AJ557" s="68"/>
      <c r="AK557" s="210" t="s">
        <v>5</v>
      </c>
      <c r="AL557" s="210" t="s">
        <v>210</v>
      </c>
      <c r="AM557" s="210" t="s">
        <v>211</v>
      </c>
      <c r="AN557" s="210" t="s">
        <v>214</v>
      </c>
      <c r="AO557" s="210" t="s">
        <v>216</v>
      </c>
      <c r="AP557" s="210" t="s">
        <v>215</v>
      </c>
      <c r="AQ557" s="210" t="s">
        <v>213</v>
      </c>
    </row>
    <row r="558" spans="1:43" ht="15.6">
      <c r="A558" s="11" t="s">
        <v>17</v>
      </c>
      <c r="J558" s="209">
        <f t="shared" ref="J558:P558" si="682">SUM(J559:J563)</f>
        <v>32488.9</v>
      </c>
      <c r="K558" s="209">
        <f t="shared" si="682"/>
        <v>53568.840000000004</v>
      </c>
      <c r="L558" s="209">
        <f t="shared" si="682"/>
        <v>30.9</v>
      </c>
      <c r="M558" s="209">
        <f t="shared" si="682"/>
        <v>1915.97</v>
      </c>
      <c r="N558" s="209">
        <f t="shared" si="682"/>
        <v>7656.4</v>
      </c>
      <c r="O558" s="209">
        <f t="shared" si="682"/>
        <v>3034.4</v>
      </c>
      <c r="P558" s="209">
        <f t="shared" si="682"/>
        <v>98695.41</v>
      </c>
      <c r="Q558" s="2"/>
      <c r="R558" s="236">
        <v>9.2870000000000008</v>
      </c>
      <c r="S558" s="236">
        <v>6.7869999999999999</v>
      </c>
      <c r="T558" s="236">
        <v>9.3360000000000003</v>
      </c>
      <c r="U558" s="236">
        <v>10.294</v>
      </c>
      <c r="V558" s="236">
        <v>11.147</v>
      </c>
      <c r="W558" s="236">
        <v>9.843</v>
      </c>
      <c r="X558" s="236">
        <v>8.1110000000000007</v>
      </c>
      <c r="AA558" s="68" t="s">
        <v>5</v>
      </c>
      <c r="AJ558" s="11" t="s">
        <v>17</v>
      </c>
      <c r="AK558" s="286">
        <f>IFERROR(J558*3.6/J575,"")</f>
        <v>0.38762611307915107</v>
      </c>
      <c r="AL558" s="286">
        <f t="shared" ref="AL558:AL570" si="683">IFERROR(K558*3.6/K575,"")</f>
        <v>0.53045547436097129</v>
      </c>
      <c r="AM558" s="286">
        <f t="shared" ref="AM558:AM570" si="684">IFERROR(L558*3.6/L575,"")</f>
        <v>0.38560411311053983</v>
      </c>
      <c r="AN558" s="286">
        <f t="shared" ref="AN558:AN570" si="685">IFERROR(M558*3.6/M575,"")</f>
        <v>0.34970777601018127</v>
      </c>
      <c r="AO558" s="286">
        <f t="shared" ref="AO558:AO570" si="686">IFERROR(N558*3.6/N575,"")</f>
        <v>0.32296851350984079</v>
      </c>
      <c r="AP558" s="286">
        <f t="shared" ref="AP558:AP567" si="687">IFERROR(O558*3.6/O575,"")</f>
        <v>0.36575563084504203</v>
      </c>
      <c r="AQ558" s="286">
        <f t="shared" ref="AQ558:AQ563" si="688">IFERROR(P558*3.6/P575,"")</f>
        <v>0.44384809724387331</v>
      </c>
    </row>
    <row r="559" spans="1:43" ht="15.6">
      <c r="A559" s="10" t="s">
        <v>18</v>
      </c>
      <c r="J559" s="177">
        <v>0</v>
      </c>
      <c r="K559" s="177">
        <v>274.89</v>
      </c>
      <c r="L559" s="177">
        <v>30.9</v>
      </c>
      <c r="M559" s="177">
        <v>221.92</v>
      </c>
      <c r="N559" s="177">
        <v>1255</v>
      </c>
      <c r="O559" s="177">
        <v>2982.2</v>
      </c>
      <c r="P559" s="209">
        <f>SUM(J559:O559)</f>
        <v>4764.91</v>
      </c>
      <c r="Q559" s="2"/>
      <c r="R559" s="201">
        <v>0</v>
      </c>
      <c r="S559" s="201">
        <v>9.7729999999999997</v>
      </c>
      <c r="T559" s="201">
        <v>9.3360000000000003</v>
      </c>
      <c r="U559" s="201">
        <v>9.58</v>
      </c>
      <c r="V559" s="201">
        <v>8.8219999999999992</v>
      </c>
      <c r="W559" s="201">
        <v>9.83</v>
      </c>
      <c r="X559" s="236">
        <v>9.5459999999999994</v>
      </c>
      <c r="Z559" s="199">
        <f>AA559*AB559</f>
        <v>677482.04621983692</v>
      </c>
      <c r="AA559" s="215">
        <v>7216.0327931197498</v>
      </c>
      <c r="AB559" s="313">
        <v>93.885666216178194</v>
      </c>
      <c r="AC559" s="216" t="s">
        <v>59</v>
      </c>
      <c r="AJ559" s="10" t="s">
        <v>18</v>
      </c>
      <c r="AK559" s="56" t="str">
        <f t="shared" ref="AK559:AK566" si="689">IFERROR(J559*3.6/J576,"")</f>
        <v/>
      </c>
      <c r="AL559" s="56">
        <f t="shared" si="683"/>
        <v>0.36836181315870253</v>
      </c>
      <c r="AM559" s="56">
        <f t="shared" si="684"/>
        <v>0.38560411311053983</v>
      </c>
      <c r="AN559" s="56">
        <f t="shared" si="685"/>
        <v>0.37578288100208768</v>
      </c>
      <c r="AO559" s="56">
        <f t="shared" si="686"/>
        <v>0.40807073226025847</v>
      </c>
      <c r="AP559" s="56">
        <f t="shared" si="687"/>
        <v>0.36622583926754837</v>
      </c>
      <c r="AQ559" s="286">
        <f t="shared" si="688"/>
        <v>0.37710654081628192</v>
      </c>
    </row>
    <row r="560" spans="1:43" ht="15.6">
      <c r="A560" s="10" t="s">
        <v>19</v>
      </c>
      <c r="J560" s="177">
        <v>0</v>
      </c>
      <c r="K560" s="177">
        <v>540.48</v>
      </c>
      <c r="L560" s="177">
        <v>0</v>
      </c>
      <c r="M560" s="177">
        <v>7.82</v>
      </c>
      <c r="N560" s="177">
        <v>11.7</v>
      </c>
      <c r="O560" s="177">
        <v>32.9</v>
      </c>
      <c r="P560" s="209">
        <f>SUM(J560:O560)</f>
        <v>592.90000000000009</v>
      </c>
      <c r="Q560" s="2"/>
      <c r="R560" s="201">
        <v>0</v>
      </c>
      <c r="S560" s="201">
        <v>11.87</v>
      </c>
      <c r="T560" s="201">
        <v>0</v>
      </c>
      <c r="U560" s="201">
        <v>15.446</v>
      </c>
      <c r="V560" s="201">
        <v>13.443</v>
      </c>
      <c r="W560" s="201">
        <v>11.307</v>
      </c>
      <c r="X560" s="236">
        <v>11.917</v>
      </c>
      <c r="Z560" s="199">
        <f>AA560*AB560</f>
        <v>139.39370881055237</v>
      </c>
      <c r="AA560" s="215">
        <v>1.48471768299102</v>
      </c>
      <c r="AB560" s="214">
        <v>93.885666216178194</v>
      </c>
      <c r="AC560" s="216" t="s">
        <v>60</v>
      </c>
      <c r="AJ560" s="10" t="s">
        <v>19</v>
      </c>
      <c r="AK560" s="56" t="str">
        <f t="shared" si="689"/>
        <v/>
      </c>
      <c r="AL560" s="56">
        <f t="shared" si="683"/>
        <v>0.30328559393428817</v>
      </c>
      <c r="AM560" s="56" t="str">
        <f t="shared" si="684"/>
        <v/>
      </c>
      <c r="AN560" s="56">
        <f t="shared" si="685"/>
        <v>0.23307005049851093</v>
      </c>
      <c r="AO560" s="56">
        <f t="shared" si="686"/>
        <v>0.26779736665922788</v>
      </c>
      <c r="AP560" s="56">
        <f t="shared" si="687"/>
        <v>0.3183868400106129</v>
      </c>
      <c r="AQ560" s="286">
        <f t="shared" si="688"/>
        <v>0.30209033194429119</v>
      </c>
    </row>
    <row r="561" spans="1:43" ht="15.6">
      <c r="A561" s="10" t="s">
        <v>20</v>
      </c>
      <c r="J561" s="177">
        <v>32488.9</v>
      </c>
      <c r="K561" s="177">
        <v>364.89</v>
      </c>
      <c r="L561" s="177">
        <v>0</v>
      </c>
      <c r="M561" s="177">
        <v>1683.43</v>
      </c>
      <c r="N561" s="177">
        <v>4414.3999999999996</v>
      </c>
      <c r="O561" s="177">
        <v>8.3000000000000007</v>
      </c>
      <c r="P561" s="209">
        <f>SUM(J561:O561)</f>
        <v>38959.920000000006</v>
      </c>
      <c r="Q561" s="2"/>
      <c r="R561" s="201">
        <v>9.2873000000000001</v>
      </c>
      <c r="S561" s="201">
        <v>9.3360000000000003</v>
      </c>
      <c r="T561" s="201">
        <v>0</v>
      </c>
      <c r="U561" s="201">
        <v>10.367000000000001</v>
      </c>
      <c r="V561" s="201">
        <v>13.366</v>
      </c>
      <c r="W561" s="201">
        <v>9.2739999999999991</v>
      </c>
      <c r="X561" s="236">
        <v>9.7970000000000006</v>
      </c>
      <c r="Z561" s="199">
        <f>AA561*AB561</f>
        <v>0</v>
      </c>
      <c r="AA561" s="215"/>
      <c r="AB561" s="214">
        <v>101</v>
      </c>
      <c r="AC561" s="216" t="s">
        <v>61</v>
      </c>
      <c r="AJ561" s="10" t="s">
        <v>20</v>
      </c>
      <c r="AK561" s="56">
        <f t="shared" si="689"/>
        <v>0.38762611307915107</v>
      </c>
      <c r="AL561" s="56">
        <f t="shared" si="683"/>
        <v>0.38560411311053983</v>
      </c>
      <c r="AM561" s="56" t="str">
        <f t="shared" si="684"/>
        <v/>
      </c>
      <c r="AN561" s="56">
        <f t="shared" si="685"/>
        <v>0.3472557152503134</v>
      </c>
      <c r="AO561" s="56">
        <f t="shared" si="686"/>
        <v>0.26934011671405056</v>
      </c>
      <c r="AP561" s="56">
        <f t="shared" si="687"/>
        <v>0.38818201423334059</v>
      </c>
      <c r="AQ561" s="286">
        <f t="shared" si="688"/>
        <v>0.36747636980332687</v>
      </c>
    </row>
    <row r="562" spans="1:43" ht="15.6">
      <c r="A562" s="10" t="s">
        <v>21</v>
      </c>
      <c r="J562" s="177">
        <v>0</v>
      </c>
      <c r="K562" s="177">
        <v>52388.58</v>
      </c>
      <c r="L562" s="177">
        <v>0</v>
      </c>
      <c r="M562" s="177">
        <v>2.8</v>
      </c>
      <c r="N562" s="177">
        <v>1975.3</v>
      </c>
      <c r="O562" s="177">
        <v>11</v>
      </c>
      <c r="P562" s="209">
        <f>SUM(J562:O562)</f>
        <v>54377.680000000008</v>
      </c>
      <c r="Q562" s="2"/>
      <c r="R562" s="201">
        <v>0</v>
      </c>
      <c r="S562" s="201">
        <v>6.7007500000000002</v>
      </c>
      <c r="T562" s="201">
        <v>0</v>
      </c>
      <c r="U562" s="201">
        <v>8.8170000000000002</v>
      </c>
      <c r="V562" s="201">
        <v>7.65</v>
      </c>
      <c r="W562" s="201">
        <v>9.3179999999999996</v>
      </c>
      <c r="X562" s="236">
        <v>6.7359999999999998</v>
      </c>
      <c r="Z562" s="199">
        <f>AA562*AB562</f>
        <v>393.90751245892625</v>
      </c>
      <c r="AA562" s="215">
        <v>4.0989335323509497</v>
      </c>
      <c r="AB562" s="214">
        <v>96.1</v>
      </c>
      <c r="AC562" s="216" t="s">
        <v>62</v>
      </c>
      <c r="AJ562" s="10" t="s">
        <v>21</v>
      </c>
      <c r="AK562" s="56" t="str">
        <f t="shared" si="689"/>
        <v/>
      </c>
      <c r="AL562" s="56">
        <f t="shared" si="683"/>
        <v>0.5372532925418797</v>
      </c>
      <c r="AM562" s="56" t="str">
        <f t="shared" si="684"/>
        <v/>
      </c>
      <c r="AN562" s="56">
        <f t="shared" si="685"/>
        <v>0.40830214358625383</v>
      </c>
      <c r="AO562" s="56">
        <f t="shared" si="686"/>
        <v>0.47058823529411764</v>
      </c>
      <c r="AP562" s="56">
        <f t="shared" si="687"/>
        <v>0.38634900193174504</v>
      </c>
      <c r="AQ562" s="286">
        <f t="shared" si="688"/>
        <v>0.53445208379817011</v>
      </c>
    </row>
    <row r="563" spans="1:43" ht="15.6">
      <c r="A563" s="10" t="s">
        <v>23</v>
      </c>
      <c r="J563" s="177">
        <v>0</v>
      </c>
      <c r="K563" s="177">
        <v>0</v>
      </c>
      <c r="L563" s="177">
        <v>0</v>
      </c>
      <c r="M563" s="177">
        <v>0</v>
      </c>
      <c r="N563" s="177">
        <v>0</v>
      </c>
      <c r="O563" s="177">
        <v>0</v>
      </c>
      <c r="P563" s="209">
        <f>SUM(J563:O563)</f>
        <v>0</v>
      </c>
      <c r="Q563" s="2"/>
      <c r="R563" s="201">
        <v>0</v>
      </c>
      <c r="S563" s="201">
        <v>0</v>
      </c>
      <c r="T563" s="201">
        <v>0</v>
      </c>
      <c r="U563" s="201">
        <v>0</v>
      </c>
      <c r="V563" s="201">
        <v>0</v>
      </c>
      <c r="W563" s="201">
        <v>0</v>
      </c>
      <c r="X563" s="236">
        <v>0</v>
      </c>
      <c r="Z563" s="199"/>
      <c r="AA563" s="209" t="s">
        <v>237</v>
      </c>
      <c r="AJ563" s="10" t="s">
        <v>23</v>
      </c>
      <c r="AK563" s="56" t="str">
        <f t="shared" si="689"/>
        <v/>
      </c>
      <c r="AL563" s="56" t="str">
        <f t="shared" si="683"/>
        <v/>
      </c>
      <c r="AM563" s="56" t="str">
        <f t="shared" si="684"/>
        <v/>
      </c>
      <c r="AN563" s="56" t="str">
        <f t="shared" si="685"/>
        <v/>
      </c>
      <c r="AO563" s="56" t="str">
        <f t="shared" si="686"/>
        <v/>
      </c>
      <c r="AP563" s="56" t="str">
        <f t="shared" si="687"/>
        <v/>
      </c>
      <c r="AQ563" s="286" t="str">
        <f t="shared" si="688"/>
        <v/>
      </c>
    </row>
    <row r="564" spans="1:43" ht="15.6">
      <c r="A564" s="11" t="s">
        <v>24</v>
      </c>
      <c r="J564" s="209">
        <f t="shared" ref="J564:P564" si="690">SUM(J565:J569)</f>
        <v>138.5</v>
      </c>
      <c r="K564" s="209">
        <f t="shared" si="690"/>
        <v>86780.49</v>
      </c>
      <c r="L564" s="209">
        <f t="shared" si="690"/>
        <v>2470.4</v>
      </c>
      <c r="M564" s="209">
        <f t="shared" si="690"/>
        <v>2166.56</v>
      </c>
      <c r="N564" s="209">
        <f t="shared" si="690"/>
        <v>13221.92</v>
      </c>
      <c r="O564" s="209">
        <f t="shared" si="690"/>
        <v>5350.3</v>
      </c>
      <c r="P564" s="209">
        <f t="shared" si="690"/>
        <v>110128.17</v>
      </c>
      <c r="Q564" s="2"/>
      <c r="R564" s="236">
        <v>4.4539999999999997</v>
      </c>
      <c r="S564" s="236">
        <v>6.15</v>
      </c>
      <c r="T564" s="236">
        <v>8.4920000000000009</v>
      </c>
      <c r="U564" s="236">
        <v>6.2619999999999996</v>
      </c>
      <c r="V564" s="236">
        <v>8.0139999999999993</v>
      </c>
      <c r="W564" s="236">
        <v>7.0469999999999997</v>
      </c>
      <c r="X564" s="236">
        <v>6.47</v>
      </c>
      <c r="Z564" s="199">
        <f>AA564*AB564</f>
        <v>7156.7772069901894</v>
      </c>
      <c r="AA564" s="237">
        <v>35.917250958634099</v>
      </c>
      <c r="AB564" s="214">
        <v>199.2573767750948</v>
      </c>
      <c r="AC564" s="216" t="s">
        <v>154</v>
      </c>
      <c r="AJ564" s="11" t="s">
        <v>24</v>
      </c>
      <c r="AK564" s="286">
        <f t="shared" si="689"/>
        <v>0.80825516093452854</v>
      </c>
      <c r="AL564" s="286">
        <f t="shared" si="683"/>
        <v>0.58539223377480842</v>
      </c>
      <c r="AM564" s="286">
        <f t="shared" si="684"/>
        <v>0.42393776156024493</v>
      </c>
      <c r="AN564" s="286">
        <f t="shared" si="685"/>
        <v>0.57490969168793682</v>
      </c>
      <c r="AO564" s="286">
        <f t="shared" si="686"/>
        <v>0.44921732411086407</v>
      </c>
      <c r="AP564" s="286">
        <f t="shared" si="687"/>
        <v>0.51083861447235146</v>
      </c>
      <c r="AQ564" s="286">
        <f>IFERROR(P564*3.6/P581,"")</f>
        <v>0.5564353680372448</v>
      </c>
    </row>
    <row r="565" spans="1:43" ht="15.6">
      <c r="A565" s="10" t="s">
        <v>25</v>
      </c>
      <c r="J565" s="177">
        <v>0</v>
      </c>
      <c r="K565" s="177">
        <v>9046.64</v>
      </c>
      <c r="L565" s="177">
        <v>135.69999999999999</v>
      </c>
      <c r="M565" s="177">
        <v>36.700000000000003</v>
      </c>
      <c r="N565" s="177">
        <v>1737.64</v>
      </c>
      <c r="O565" s="177">
        <v>5314.2</v>
      </c>
      <c r="P565" s="209">
        <f>SUM(J565:O565)</f>
        <v>16270.880000000001</v>
      </c>
      <c r="Q565" s="2"/>
      <c r="R565" s="201">
        <v>0</v>
      </c>
      <c r="S565" s="201">
        <v>5.6660000000000004</v>
      </c>
      <c r="T565" s="201">
        <v>6.7009999999999996</v>
      </c>
      <c r="U565" s="201">
        <v>6.8769999999999998</v>
      </c>
      <c r="V565" s="201">
        <v>7.5449999999999999</v>
      </c>
      <c r="W565" s="201">
        <v>7.0419999999999998</v>
      </c>
      <c r="X565" s="236">
        <v>6.327</v>
      </c>
      <c r="Z565" s="199">
        <f>AA565*AB565</f>
        <v>73742.339026444461</v>
      </c>
      <c r="AA565" s="237">
        <v>295.05563719749802</v>
      </c>
      <c r="AB565" s="214">
        <v>249.92689421854496</v>
      </c>
      <c r="AC565" s="216" t="s">
        <v>155</v>
      </c>
      <c r="AJ565" s="10" t="s">
        <v>25</v>
      </c>
      <c r="AK565" s="56" t="str">
        <f t="shared" si="689"/>
        <v/>
      </c>
      <c r="AL565" s="56">
        <f t="shared" si="683"/>
        <v>0.63536886692552053</v>
      </c>
      <c r="AM565" s="56">
        <f t="shared" si="684"/>
        <v>0.53723324876884049</v>
      </c>
      <c r="AN565" s="56">
        <f t="shared" si="685"/>
        <v>0.52348407735931368</v>
      </c>
      <c r="AO565" s="56">
        <f t="shared" si="686"/>
        <v>0.47713717693836982</v>
      </c>
      <c r="AP565" s="56">
        <f t="shared" si="687"/>
        <v>0.51121840386253914</v>
      </c>
      <c r="AQ565" s="286">
        <f t="shared" ref="AQ565:AQ570" si="691">IFERROR(P565*3.6/P582,"")</f>
        <v>0.56895021577251936</v>
      </c>
    </row>
    <row r="566" spans="1:43" ht="15.6">
      <c r="A566" s="10" t="s">
        <v>26</v>
      </c>
      <c r="J566" s="177">
        <v>0</v>
      </c>
      <c r="K566" s="177">
        <v>4530.91</v>
      </c>
      <c r="L566" s="177">
        <v>0</v>
      </c>
      <c r="M566" s="177">
        <v>426.72</v>
      </c>
      <c r="N566" s="177">
        <v>14.64</v>
      </c>
      <c r="O566" s="177">
        <v>4</v>
      </c>
      <c r="P566" s="209">
        <f>SUM(J566:O566)</f>
        <v>4976.2700000000004</v>
      </c>
      <c r="Q566" s="2"/>
      <c r="R566" s="201">
        <v>0</v>
      </c>
      <c r="S566" s="201">
        <v>6.0810000000000004</v>
      </c>
      <c r="T566" s="201">
        <v>4.8730000000000002</v>
      </c>
      <c r="U566" s="201">
        <v>5.024</v>
      </c>
      <c r="V566" s="201">
        <v>8.9939999999999998</v>
      </c>
      <c r="W566" s="201">
        <v>7.3049999999999997</v>
      </c>
      <c r="X566" s="236">
        <v>6</v>
      </c>
      <c r="Z566" s="199">
        <f>AA566*AB566</f>
        <v>7451.8775522484866</v>
      </c>
      <c r="AA566" s="237">
        <v>169.83456190913699</v>
      </c>
      <c r="AB566" s="214">
        <v>43.8772736743379</v>
      </c>
      <c r="AC566" s="216" t="s">
        <v>156</v>
      </c>
      <c r="AJ566" s="10" t="s">
        <v>26</v>
      </c>
      <c r="AK566" s="56" t="str">
        <f t="shared" si="689"/>
        <v/>
      </c>
      <c r="AL566" s="56">
        <f t="shared" si="683"/>
        <v>0.59200789343857918</v>
      </c>
      <c r="AM566" s="56" t="str">
        <f t="shared" si="684"/>
        <v/>
      </c>
      <c r="AN566" s="56">
        <f t="shared" si="685"/>
        <v>0.71656050955414019</v>
      </c>
      <c r="AO566" s="56">
        <f t="shared" si="686"/>
        <v>0.40026684456304207</v>
      </c>
      <c r="AP566" s="56">
        <f t="shared" si="687"/>
        <v>0.49281314168377827</v>
      </c>
      <c r="AQ566" s="286">
        <f t="shared" si="691"/>
        <v>0.60000849744866303</v>
      </c>
    </row>
    <row r="567" spans="1:43" ht="15.6">
      <c r="A567" s="10" t="s">
        <v>27</v>
      </c>
      <c r="J567" s="177">
        <v>125.7</v>
      </c>
      <c r="K567" s="177">
        <v>71685.539999999994</v>
      </c>
      <c r="L567" s="177">
        <v>1326.6</v>
      </c>
      <c r="M567" s="177">
        <v>1354.84</v>
      </c>
      <c r="N567" s="177">
        <v>7092.6</v>
      </c>
      <c r="O567" s="177">
        <v>26.8</v>
      </c>
      <c r="P567" s="209">
        <f>SUM(J567:O567)</f>
        <v>81612.08</v>
      </c>
      <c r="Q567" s="2"/>
      <c r="R567" s="201">
        <v>4.3959999999999999</v>
      </c>
      <c r="S567" s="201">
        <v>6.1947999999999999</v>
      </c>
      <c r="T567" s="201">
        <v>8.1110000000000007</v>
      </c>
      <c r="U567" s="201">
        <v>6.4809999999999999</v>
      </c>
      <c r="V567" s="201">
        <v>6.1379999999999999</v>
      </c>
      <c r="W567" s="201">
        <v>7.46</v>
      </c>
      <c r="X567" s="236">
        <v>6.2229999999999999</v>
      </c>
      <c r="Z567" s="199">
        <f>AA567*AB567</f>
        <v>400.59811018394106</v>
      </c>
      <c r="AA567" s="237">
        <v>7.1407862777886102</v>
      </c>
      <c r="AB567" s="214">
        <v>56.1</v>
      </c>
      <c r="AC567" s="217" t="s">
        <v>220</v>
      </c>
      <c r="AJ567" s="10" t="s">
        <v>27</v>
      </c>
      <c r="AK567" s="56">
        <f>IFERROR(J567*3.6/J584,"")</f>
        <v>0.81892629663330319</v>
      </c>
      <c r="AL567" s="56">
        <f t="shared" si="683"/>
        <v>0.58113256279460201</v>
      </c>
      <c r="AM567" s="56">
        <f t="shared" si="684"/>
        <v>0.44384169646159533</v>
      </c>
      <c r="AN567" s="56">
        <f t="shared" si="685"/>
        <v>0.55546983490202129</v>
      </c>
      <c r="AO567" s="56">
        <f t="shared" si="686"/>
        <v>0.5865102639296188</v>
      </c>
      <c r="AP567" s="56">
        <f t="shared" si="687"/>
        <v>0.482573726541555</v>
      </c>
      <c r="AQ567" s="286">
        <f t="shared" si="691"/>
        <v>0.57846122881918682</v>
      </c>
    </row>
    <row r="568" spans="1:43" ht="15.6">
      <c r="A568" s="10" t="s">
        <v>28</v>
      </c>
      <c r="J568" s="177">
        <v>12.8</v>
      </c>
      <c r="K568" s="177">
        <v>690.1</v>
      </c>
      <c r="L568" s="177">
        <v>0</v>
      </c>
      <c r="M568" s="177">
        <v>114.1</v>
      </c>
      <c r="N568" s="177">
        <v>642.4</v>
      </c>
      <c r="O568" s="177">
        <v>0</v>
      </c>
      <c r="P568" s="209">
        <f>SUM(J568:O568)</f>
        <v>1459.4</v>
      </c>
      <c r="Q568" s="2"/>
      <c r="R568" s="201">
        <v>5.024</v>
      </c>
      <c r="S568" s="201">
        <v>4.9530000000000003</v>
      </c>
      <c r="T568" s="201">
        <v>0</v>
      </c>
      <c r="U568" s="201">
        <v>4.8150000000000004</v>
      </c>
      <c r="V568" s="201">
        <v>5.851</v>
      </c>
      <c r="W568" s="201">
        <v>0</v>
      </c>
      <c r="X568" s="236">
        <v>5.3380000000000001</v>
      </c>
      <c r="AA568" s="209" t="s">
        <v>238</v>
      </c>
      <c r="AJ568" s="10" t="s">
        <v>28</v>
      </c>
      <c r="AK568" s="56">
        <f>IFERROR(J568*3.6/J585,"")</f>
        <v>0.71656050955414008</v>
      </c>
      <c r="AL568" s="56">
        <f t="shared" si="683"/>
        <v>0.72683222289521499</v>
      </c>
      <c r="AM568" s="56" t="str">
        <f t="shared" si="684"/>
        <v/>
      </c>
      <c r="AN568" s="56">
        <f t="shared" si="685"/>
        <v>0.74766355140186902</v>
      </c>
      <c r="AO568" s="56">
        <f t="shared" si="686"/>
        <v>0.61527943941206631</v>
      </c>
      <c r="AP568" s="56" t="str">
        <f>IFERROR(O568*3.6/O585,"")</f>
        <v/>
      </c>
      <c r="AQ568" s="286">
        <f t="shared" si="691"/>
        <v>0.67439524389770522</v>
      </c>
    </row>
    <row r="569" spans="1:43" ht="15.6">
      <c r="A569" s="10" t="s">
        <v>29</v>
      </c>
      <c r="J569" s="177">
        <v>0</v>
      </c>
      <c r="K569" s="177">
        <v>827.3</v>
      </c>
      <c r="L569" s="177">
        <v>1008.1</v>
      </c>
      <c r="M569" s="177">
        <v>234.2</v>
      </c>
      <c r="N569" s="177">
        <v>3734.64</v>
      </c>
      <c r="O569" s="177">
        <v>5.3</v>
      </c>
      <c r="P569" s="209">
        <f>SUM(J569:O569)</f>
        <v>5809.54</v>
      </c>
      <c r="Q569" s="2"/>
      <c r="R569" s="201">
        <v>0</v>
      </c>
      <c r="S569" s="201">
        <v>8.9079999999999995</v>
      </c>
      <c r="T569" s="201">
        <v>9.234</v>
      </c>
      <c r="U569" s="201">
        <v>7.8579999999999997</v>
      </c>
      <c r="V569" s="201">
        <v>12.163</v>
      </c>
      <c r="W569" s="201">
        <v>10.015000000000001</v>
      </c>
      <c r="X569" s="236">
        <v>11.016</v>
      </c>
      <c r="Z569" s="199">
        <f t="shared" ref="Z569:Z575" si="692">AA569*AB569</f>
        <v>1.17837252623366</v>
      </c>
      <c r="AA569" s="237">
        <v>1.6480734632638602E-2</v>
      </c>
      <c r="AB569" s="214">
        <v>71.5</v>
      </c>
      <c r="AC569" s="216" t="s">
        <v>66</v>
      </c>
      <c r="AJ569" s="10" t="s">
        <v>29</v>
      </c>
      <c r="AK569" s="56" t="str">
        <f>IFERROR(J569*3.6/J586,"")</f>
        <v/>
      </c>
      <c r="AL569" s="56">
        <f t="shared" si="683"/>
        <v>0.40413111809609342</v>
      </c>
      <c r="AM569" s="56">
        <f t="shared" si="684"/>
        <v>0.38986354775828458</v>
      </c>
      <c r="AN569" s="56">
        <f t="shared" si="685"/>
        <v>0.45813184016289132</v>
      </c>
      <c r="AO569" s="56">
        <f t="shared" si="686"/>
        <v>0.29597961029351311</v>
      </c>
      <c r="AP569" s="56">
        <f>IFERROR(O569*3.6/O586,"")</f>
        <v>0.35946080878681974</v>
      </c>
      <c r="AQ569" s="286">
        <f t="shared" si="691"/>
        <v>0.32680585946523932</v>
      </c>
    </row>
    <row r="570" spans="1:43" ht="15.6">
      <c r="A570" s="11" t="s">
        <v>10</v>
      </c>
      <c r="J570" s="209">
        <f t="shared" ref="J570:P570" si="693">J558+J564</f>
        <v>32627.4</v>
      </c>
      <c r="K570" s="209">
        <f t="shared" si="693"/>
        <v>140349.33000000002</v>
      </c>
      <c r="L570" s="209">
        <f t="shared" si="693"/>
        <v>2501.3000000000002</v>
      </c>
      <c r="M570" s="209">
        <f t="shared" si="693"/>
        <v>4082.5299999999997</v>
      </c>
      <c r="N570" s="209">
        <f t="shared" si="693"/>
        <v>20878.32</v>
      </c>
      <c r="O570" s="209">
        <f t="shared" si="693"/>
        <v>8384.7000000000007</v>
      </c>
      <c r="P570" s="209">
        <f t="shared" si="693"/>
        <v>208823.58000000002</v>
      </c>
      <c r="Q570" s="2"/>
      <c r="R570" s="236">
        <v>9.2669999999999995</v>
      </c>
      <c r="S570" s="236">
        <v>6.3929999999999998</v>
      </c>
      <c r="T570" s="236">
        <v>8.5020000000000007</v>
      </c>
      <c r="U570" s="236">
        <v>8.1539999999999999</v>
      </c>
      <c r="V570" s="236">
        <v>9.1630000000000003</v>
      </c>
      <c r="W570" s="236">
        <v>8.0589999999999993</v>
      </c>
      <c r="X570" s="236">
        <v>7.2450000000000001</v>
      </c>
      <c r="Z570" s="199">
        <f t="shared" si="692"/>
        <v>0</v>
      </c>
      <c r="AA570" s="237">
        <v>0</v>
      </c>
      <c r="AB570" s="214">
        <v>96.727224199727431</v>
      </c>
      <c r="AC570" s="216" t="s">
        <v>67</v>
      </c>
      <c r="AJ570" s="11" t="s">
        <v>10</v>
      </c>
      <c r="AK570" s="286">
        <f>IFERROR(J570*3.6/J587,"")</f>
        <v>0.38848431913394182</v>
      </c>
      <c r="AL570" s="286">
        <f t="shared" si="683"/>
        <v>0.56313217324516673</v>
      </c>
      <c r="AM570" s="286">
        <f t="shared" si="684"/>
        <v>0.42341776524048841</v>
      </c>
      <c r="AN570" s="286">
        <f t="shared" si="685"/>
        <v>0.44148361851354934</v>
      </c>
      <c r="AO570" s="286">
        <f t="shared" si="686"/>
        <v>0.39289589491983606</v>
      </c>
      <c r="AP570" s="286">
        <f>IFERROR(O570*3.6/O587,"")</f>
        <v>0.44671199153562824</v>
      </c>
      <c r="AQ570" s="286">
        <f t="shared" si="691"/>
        <v>0.49686739202130104</v>
      </c>
    </row>
    <row r="571" spans="1:43">
      <c r="J571" s="177">
        <f t="shared" ref="J571:P571" si="694">J564/11.63</f>
        <v>11.908856405846947</v>
      </c>
      <c r="K571" s="177">
        <f t="shared" si="694"/>
        <v>7461.7790197764398</v>
      </c>
      <c r="L571" s="177">
        <f t="shared" si="694"/>
        <v>212.41616509028376</v>
      </c>
      <c r="M571" s="177">
        <f t="shared" si="694"/>
        <v>186.29062768701633</v>
      </c>
      <c r="N571" s="177">
        <f t="shared" si="694"/>
        <v>1136.8804815133276</v>
      </c>
      <c r="O571" s="177">
        <f t="shared" si="694"/>
        <v>460.04299226139295</v>
      </c>
      <c r="P571" s="177">
        <f t="shared" si="694"/>
        <v>9469.3181427343079</v>
      </c>
      <c r="Z571" s="199">
        <f t="shared" si="692"/>
        <v>131.3427714811971</v>
      </c>
      <c r="AA571" s="237">
        <v>2.0815019252170699</v>
      </c>
      <c r="AB571" s="214">
        <v>63.1</v>
      </c>
      <c r="AC571" s="216" t="s">
        <v>69</v>
      </c>
    </row>
    <row r="572" spans="1:43">
      <c r="Z572" s="199">
        <f t="shared" si="692"/>
        <v>16186.493273938215</v>
      </c>
      <c r="AA572" s="237">
        <v>278.45486079719302</v>
      </c>
      <c r="AB572" s="214">
        <v>58.12968474530355</v>
      </c>
      <c r="AC572" s="216" t="s">
        <v>70</v>
      </c>
    </row>
    <row r="573" spans="1:43">
      <c r="A573" s="68" t="str">
        <f>$A$556</f>
        <v>Dati 2017 lorda</v>
      </c>
      <c r="J573" s="68" t="s">
        <v>189</v>
      </c>
      <c r="Z573" s="199">
        <f t="shared" si="692"/>
        <v>7911.0232371769162</v>
      </c>
      <c r="AA573" s="237">
        <v>106.76144719537</v>
      </c>
      <c r="AB573" s="214">
        <v>74.099999999999994</v>
      </c>
      <c r="AC573" s="216" t="s">
        <v>71</v>
      </c>
    </row>
    <row r="574" spans="1:43">
      <c r="J574" s="210" t="s">
        <v>5</v>
      </c>
      <c r="K574" s="210" t="s">
        <v>210</v>
      </c>
      <c r="L574" s="210" t="s">
        <v>211</v>
      </c>
      <c r="M574" s="210" t="s">
        <v>214</v>
      </c>
      <c r="N574" s="210" t="s">
        <v>216</v>
      </c>
      <c r="O574" s="210" t="s">
        <v>215</v>
      </c>
      <c r="P574" s="210" t="s">
        <v>213</v>
      </c>
      <c r="R574" s="68" t="s">
        <v>234</v>
      </c>
      <c r="Z574" s="199">
        <f t="shared" si="692"/>
        <v>0</v>
      </c>
      <c r="AA574" s="237">
        <v>0</v>
      </c>
      <c r="AB574" s="214">
        <v>74.099999999999994</v>
      </c>
      <c r="AC574" s="216" t="s">
        <v>72</v>
      </c>
      <c r="AJ574" s="68"/>
    </row>
    <row r="575" spans="1:43">
      <c r="A575" s="11" t="s">
        <v>17</v>
      </c>
      <c r="J575" s="209">
        <f t="shared" ref="J575:O575" si="695">SUM(J576:J580)</f>
        <v>301734.16097000003</v>
      </c>
      <c r="K575" s="209">
        <f t="shared" si="695"/>
        <v>363551.38804499997</v>
      </c>
      <c r="L575" s="209">
        <f t="shared" si="695"/>
        <v>288.48239999999998</v>
      </c>
      <c r="M575" s="209">
        <f t="shared" si="695"/>
        <v>19723.587730000003</v>
      </c>
      <c r="N575" s="209">
        <f t="shared" si="695"/>
        <v>85342.808499999985</v>
      </c>
      <c r="O575" s="209">
        <f t="shared" si="695"/>
        <v>29866.498499999998</v>
      </c>
      <c r="P575" s="212">
        <f t="shared" ref="P575:P586" si="696">SUM(J575:O575)</f>
        <v>800506.92614499992</v>
      </c>
      <c r="Q575" s="202"/>
      <c r="R575" s="209">
        <f t="shared" ref="R575:W575" si="697">SUM(R576:R580)</f>
        <v>28.329227493819598</v>
      </c>
      <c r="S575" s="209">
        <f t="shared" si="697"/>
        <v>21.083199784953262</v>
      </c>
      <c r="T575" s="209">
        <f t="shared" si="697"/>
        <v>5.040556431862421E-2</v>
      </c>
      <c r="U575" s="209">
        <f t="shared" si="697"/>
        <v>1.3767349274736067</v>
      </c>
      <c r="V575" s="209">
        <f t="shared" si="697"/>
        <v>3.4688309765811995</v>
      </c>
      <c r="W575" s="209">
        <f t="shared" si="697"/>
        <v>3.2003514780731629E-2</v>
      </c>
      <c r="X575" s="220">
        <f t="shared" ref="X575:X586" si="698">SUM(R575:W575)</f>
        <v>54.340402261927025</v>
      </c>
      <c r="Z575" s="199">
        <f t="shared" si="692"/>
        <v>31275.521468612533</v>
      </c>
      <c r="AA575" s="235">
        <v>407.82949971395999</v>
      </c>
      <c r="AB575" s="214">
        <v>76.687737131689332</v>
      </c>
      <c r="AC575" s="233" t="s">
        <v>73</v>
      </c>
      <c r="AJ575" s="68"/>
    </row>
    <row r="576" spans="1:43">
      <c r="A576" s="10" t="s">
        <v>18</v>
      </c>
      <c r="J576" s="197">
        <f t="shared" ref="J576:O580" si="699">IFERROR(J559*R559,"")</f>
        <v>0</v>
      </c>
      <c r="K576" s="197">
        <f t="shared" si="699"/>
        <v>2686.4999699999998</v>
      </c>
      <c r="L576" s="197">
        <f t="shared" si="699"/>
        <v>288.48239999999998</v>
      </c>
      <c r="M576" s="197">
        <f t="shared" si="699"/>
        <v>2125.9935999999998</v>
      </c>
      <c r="N576" s="197">
        <f t="shared" si="699"/>
        <v>11071.609999999999</v>
      </c>
      <c r="O576" s="197">
        <f t="shared" si="699"/>
        <v>29315.025999999998</v>
      </c>
      <c r="P576" s="212">
        <f t="shared" si="696"/>
        <v>45487.611969999998</v>
      </c>
      <c r="Q576" s="202"/>
      <c r="R576" s="211">
        <f t="shared" ref="R576:W580" si="700">J576*J$590/1000000</f>
        <v>0</v>
      </c>
      <c r="S576" s="211">
        <f t="shared" si="700"/>
        <v>0.15579644983440444</v>
      </c>
      <c r="T576" s="211">
        <f t="shared" si="700"/>
        <v>5.040556431862421E-2</v>
      </c>
      <c r="U576" s="211">
        <f t="shared" si="700"/>
        <v>0.14839742570026587</v>
      </c>
      <c r="V576" s="211">
        <f t="shared" si="700"/>
        <v>0.45001499720537291</v>
      </c>
      <c r="W576" s="211">
        <f t="shared" si="700"/>
        <v>3.1412583161984392E-2</v>
      </c>
      <c r="X576" s="220">
        <f t="shared" si="698"/>
        <v>0.83602702022065178</v>
      </c>
      <c r="Z576" s="199"/>
      <c r="AA576" s="209" t="s">
        <v>239</v>
      </c>
      <c r="AJ576" s="68"/>
    </row>
    <row r="577" spans="1:43">
      <c r="A577" s="10" t="s">
        <v>19</v>
      </c>
      <c r="J577" s="197">
        <f t="shared" si="699"/>
        <v>0</v>
      </c>
      <c r="K577" s="197">
        <f t="shared" si="699"/>
        <v>6415.4975999999997</v>
      </c>
      <c r="L577" s="197">
        <f t="shared" si="699"/>
        <v>0</v>
      </c>
      <c r="M577" s="197">
        <f t="shared" si="699"/>
        <v>120.78772000000001</v>
      </c>
      <c r="N577" s="197">
        <f t="shared" si="699"/>
        <v>157.28309999999999</v>
      </c>
      <c r="O577" s="197">
        <f t="shared" si="699"/>
        <v>372.00029999999998</v>
      </c>
      <c r="P577" s="212">
        <f t="shared" si="696"/>
        <v>7065.5687199999993</v>
      </c>
      <c r="Q577" s="202"/>
      <c r="R577" s="211">
        <f t="shared" si="700"/>
        <v>0</v>
      </c>
      <c r="S577" s="211">
        <f t="shared" si="700"/>
        <v>0.37204979012195633</v>
      </c>
      <c r="T577" s="211">
        <f t="shared" si="700"/>
        <v>0</v>
      </c>
      <c r="U577" s="211">
        <f t="shared" si="700"/>
        <v>8.4311574146810793E-3</v>
      </c>
      <c r="V577" s="211">
        <f t="shared" si="700"/>
        <v>6.392905260115953E-3</v>
      </c>
      <c r="W577" s="211">
        <f t="shared" si="700"/>
        <v>3.9861777233399492E-4</v>
      </c>
      <c r="X577" s="220">
        <f t="shared" si="698"/>
        <v>0.38727247056908737</v>
      </c>
      <c r="Z577" s="199">
        <f t="shared" ref="Z577:Z592" si="701">AA577*AB577</f>
        <v>9.3134489061872617E-5</v>
      </c>
      <c r="AA577" s="232">
        <v>1.4759823940074899E-6</v>
      </c>
      <c r="AB577" s="214">
        <v>63.1</v>
      </c>
      <c r="AC577" s="217" t="s">
        <v>219</v>
      </c>
      <c r="AJ577" s="68"/>
    </row>
    <row r="578" spans="1:43">
      <c r="A578" s="10" t="s">
        <v>20</v>
      </c>
      <c r="J578" s="197">
        <f t="shared" si="699"/>
        <v>301734.16097000003</v>
      </c>
      <c r="K578" s="197">
        <f t="shared" si="699"/>
        <v>3406.6130400000002</v>
      </c>
      <c r="L578" s="197">
        <f t="shared" si="699"/>
        <v>0</v>
      </c>
      <c r="M578" s="197">
        <f t="shared" si="699"/>
        <v>17452.118810000004</v>
      </c>
      <c r="N578" s="197">
        <f t="shared" si="699"/>
        <v>59002.870399999993</v>
      </c>
      <c r="O578" s="197">
        <f t="shared" si="699"/>
        <v>76.974199999999996</v>
      </c>
      <c r="P578" s="212">
        <f t="shared" si="696"/>
        <v>381672.73742000008</v>
      </c>
      <c r="Q578" s="202"/>
      <c r="R578" s="211">
        <f t="shared" si="700"/>
        <v>28.329227493819598</v>
      </c>
      <c r="S578" s="211">
        <f t="shared" si="700"/>
        <v>0.19755749991375879</v>
      </c>
      <c r="T578" s="211">
        <f t="shared" si="700"/>
        <v>0</v>
      </c>
      <c r="U578" s="211">
        <f t="shared" si="700"/>
        <v>1.218183114200903</v>
      </c>
      <c r="V578" s="211">
        <f t="shared" si="700"/>
        <v>2.3982218085865541</v>
      </c>
      <c r="W578" s="211">
        <f t="shared" si="700"/>
        <v>8.2481880071578952E-5</v>
      </c>
      <c r="X578" s="220">
        <f t="shared" si="698"/>
        <v>32.143272398400889</v>
      </c>
      <c r="Z578" s="199">
        <f t="shared" si="701"/>
        <v>566.29404841252904</v>
      </c>
      <c r="AA578" s="237">
        <v>5.9873413447231796</v>
      </c>
      <c r="AB578" s="214">
        <v>94.581887987999991</v>
      </c>
      <c r="AC578" s="217" t="s">
        <v>222</v>
      </c>
      <c r="AJ578" s="68"/>
      <c r="AQ578" s="282"/>
    </row>
    <row r="579" spans="1:43">
      <c r="A579" s="10" t="s">
        <v>21</v>
      </c>
      <c r="J579" s="197">
        <f t="shared" si="699"/>
        <v>0</v>
      </c>
      <c r="K579" s="197">
        <f t="shared" si="699"/>
        <v>351042.777435</v>
      </c>
      <c r="L579" s="197">
        <f t="shared" si="699"/>
        <v>0</v>
      </c>
      <c r="M579" s="197">
        <f t="shared" si="699"/>
        <v>24.6876</v>
      </c>
      <c r="N579" s="197">
        <f t="shared" si="699"/>
        <v>15111.045</v>
      </c>
      <c r="O579" s="197">
        <f t="shared" si="699"/>
        <v>102.49799999999999</v>
      </c>
      <c r="P579" s="212">
        <f t="shared" si="696"/>
        <v>366281.00803500001</v>
      </c>
      <c r="Q579" s="202"/>
      <c r="R579" s="211">
        <f t="shared" si="700"/>
        <v>0</v>
      </c>
      <c r="S579" s="211">
        <f t="shared" si="700"/>
        <v>20.357796045083141</v>
      </c>
      <c r="T579" s="211">
        <f t="shared" si="700"/>
        <v>0</v>
      </c>
      <c r="U579" s="211">
        <f t="shared" si="700"/>
        <v>1.7232301577567704E-3</v>
      </c>
      <c r="V579" s="211">
        <f t="shared" si="700"/>
        <v>0.61420126552915655</v>
      </c>
      <c r="W579" s="211">
        <f t="shared" si="700"/>
        <v>1.0983196634166643E-4</v>
      </c>
      <c r="X579" s="220">
        <f t="shared" si="698"/>
        <v>20.973830372736398</v>
      </c>
      <c r="Z579" s="199">
        <f t="shared" si="701"/>
        <v>4335.517052336686</v>
      </c>
      <c r="AA579" s="237">
        <v>91.094485673278001</v>
      </c>
      <c r="AB579" s="214">
        <v>47.593627872125779</v>
      </c>
      <c r="AC579" s="217" t="s">
        <v>223</v>
      </c>
      <c r="AJ579" s="68" t="s">
        <v>289</v>
      </c>
    </row>
    <row r="580" spans="1:43">
      <c r="A580" s="10" t="s">
        <v>23</v>
      </c>
      <c r="J580" s="197">
        <f t="shared" si="699"/>
        <v>0</v>
      </c>
      <c r="K580" s="197">
        <f t="shared" si="699"/>
        <v>0</v>
      </c>
      <c r="L580" s="197">
        <f t="shared" si="699"/>
        <v>0</v>
      </c>
      <c r="M580" s="197">
        <f t="shared" si="699"/>
        <v>0</v>
      </c>
      <c r="N580" s="197">
        <f t="shared" si="699"/>
        <v>0</v>
      </c>
      <c r="O580" s="197">
        <f t="shared" si="699"/>
        <v>0</v>
      </c>
      <c r="P580" s="212">
        <f t="shared" si="696"/>
        <v>0</v>
      </c>
      <c r="Q580" s="202"/>
      <c r="R580" s="211">
        <f t="shared" si="700"/>
        <v>0</v>
      </c>
      <c r="S580" s="211">
        <f t="shared" si="700"/>
        <v>0</v>
      </c>
      <c r="T580" s="211">
        <f t="shared" si="700"/>
        <v>0</v>
      </c>
      <c r="U580" s="211">
        <f t="shared" si="700"/>
        <v>0</v>
      </c>
      <c r="V580" s="211">
        <f t="shared" si="700"/>
        <v>0</v>
      </c>
      <c r="W580" s="211">
        <f t="shared" si="700"/>
        <v>0</v>
      </c>
      <c r="X580" s="220">
        <f t="shared" si="698"/>
        <v>0</v>
      </c>
      <c r="Z580" s="199">
        <f t="shared" si="701"/>
        <v>88302.388337987388</v>
      </c>
      <c r="AA580" s="237">
        <v>1004.66010939644</v>
      </c>
      <c r="AB580" s="211">
        <v>87.892798282830157</v>
      </c>
      <c r="AC580" s="217" t="s">
        <v>236</v>
      </c>
    </row>
    <row r="581" spans="1:43">
      <c r="A581" s="11" t="s">
        <v>24</v>
      </c>
      <c r="J581" s="209">
        <f t="shared" ref="J581:O581" si="702">SUM(J582:J586)</f>
        <v>616.88439999999991</v>
      </c>
      <c r="K581" s="209">
        <f t="shared" si="702"/>
        <v>533675.96284199995</v>
      </c>
      <c r="L581" s="209">
        <f t="shared" si="702"/>
        <v>20978.173699999999</v>
      </c>
      <c r="M581" s="209">
        <f t="shared" si="702"/>
        <v>13566.680319999999</v>
      </c>
      <c r="N581" s="209">
        <f t="shared" si="702"/>
        <v>105959.65347999999</v>
      </c>
      <c r="O581" s="209">
        <f t="shared" si="702"/>
        <v>37704.823899999996</v>
      </c>
      <c r="P581" s="212">
        <f t="shared" si="696"/>
        <v>712502.17864199996</v>
      </c>
      <c r="Q581" s="202"/>
      <c r="R581" s="209">
        <f t="shared" ref="R581:W581" si="703">SUM(R582:R586)</f>
        <v>5.7918064195342955E-2</v>
      </c>
      <c r="S581" s="209">
        <f t="shared" si="703"/>
        <v>30.949123879104725</v>
      </c>
      <c r="T581" s="209">
        <f t="shared" si="703"/>
        <v>3.665446085177539</v>
      </c>
      <c r="U581" s="209">
        <f t="shared" si="703"/>
        <v>0.9469738924832416</v>
      </c>
      <c r="V581" s="209">
        <f t="shared" si="703"/>
        <v>4.3068201611766028</v>
      </c>
      <c r="W581" s="209">
        <f t="shared" si="703"/>
        <v>4.0402690291549692E-2</v>
      </c>
      <c r="X581" s="220">
        <f t="shared" si="698"/>
        <v>39.966684772428998</v>
      </c>
      <c r="Z581" s="199">
        <f t="shared" si="701"/>
        <v>0</v>
      </c>
      <c r="AA581" s="237">
        <v>135.478756091702</v>
      </c>
      <c r="AB581">
        <v>0</v>
      </c>
      <c r="AC581" s="216" t="s">
        <v>224</v>
      </c>
      <c r="AJ581" s="11" t="s">
        <v>24</v>
      </c>
      <c r="AK581" s="286">
        <f t="shared" ref="AK581:AQ586" si="704">IFERROR(((J564/11.63)+J598)/J604,"")</f>
        <v>0.87212133141335757</v>
      </c>
      <c r="AL581" s="286">
        <f t="shared" si="704"/>
        <v>0.65521506637731119</v>
      </c>
      <c r="AM581" s="286">
        <f t="shared" si="704"/>
        <v>0.51245113706396572</v>
      </c>
      <c r="AN581" s="286">
        <f t="shared" si="704"/>
        <v>0.77266115254102308</v>
      </c>
      <c r="AO581" s="286">
        <f t="shared" si="704"/>
        <v>0.58849215960367185</v>
      </c>
      <c r="AP581" s="286">
        <f t="shared" si="704"/>
        <v>0.59375475273571565</v>
      </c>
      <c r="AQ581" s="286">
        <f t="shared" si="704"/>
        <v>0.64218209566148465</v>
      </c>
    </row>
    <row r="582" spans="1:43">
      <c r="A582" s="10" t="s">
        <v>25</v>
      </c>
      <c r="J582" s="197">
        <f t="shared" ref="J582:O586" si="705">IFERROR(J565*R565,"")</f>
        <v>0</v>
      </c>
      <c r="K582" s="197">
        <f t="shared" si="705"/>
        <v>51258.262240000004</v>
      </c>
      <c r="L582" s="197">
        <f t="shared" si="705"/>
        <v>909.32569999999987</v>
      </c>
      <c r="M582" s="197">
        <f t="shared" si="705"/>
        <v>252.38590000000002</v>
      </c>
      <c r="N582" s="197">
        <f t="shared" si="705"/>
        <v>13110.4938</v>
      </c>
      <c r="O582" s="211">
        <f t="shared" si="705"/>
        <v>37422.596399999995</v>
      </c>
      <c r="P582" s="212">
        <f t="shared" si="696"/>
        <v>102953.06404</v>
      </c>
      <c r="Q582" s="202"/>
      <c r="R582" s="211">
        <f t="shared" ref="R582:W586" si="706">J582*J$590/1000000</f>
        <v>0</v>
      </c>
      <c r="S582" s="211">
        <f t="shared" si="706"/>
        <v>2.9725871471619287</v>
      </c>
      <c r="T582" s="211">
        <f t="shared" si="706"/>
        <v>0.15888343641736197</v>
      </c>
      <c r="U582" s="211">
        <f t="shared" si="706"/>
        <v>1.7616900560304953E-2</v>
      </c>
      <c r="V582" s="211">
        <f t="shared" si="706"/>
        <v>0.53288716191846164</v>
      </c>
      <c r="W582" s="211">
        <f t="shared" si="706"/>
        <v>4.0100268768391262E-2</v>
      </c>
      <c r="X582" s="220">
        <f t="shared" si="698"/>
        <v>3.7220749148264485</v>
      </c>
      <c r="Z582" s="199">
        <f t="shared" si="701"/>
        <v>0</v>
      </c>
      <c r="AA582" s="237">
        <v>672.15966010154102</v>
      </c>
      <c r="AB582">
        <v>0</v>
      </c>
      <c r="AC582" s="216" t="s">
        <v>225</v>
      </c>
      <c r="AJ582" s="10" t="s">
        <v>25</v>
      </c>
      <c r="AK582" s="56" t="str">
        <f t="shared" si="704"/>
        <v/>
      </c>
      <c r="AL582" s="56">
        <f t="shared" si="704"/>
        <v>0.72975406347549432</v>
      </c>
      <c r="AM582" s="56">
        <f t="shared" si="704"/>
        <v>0.64065471472463942</v>
      </c>
      <c r="AN582" s="56">
        <f t="shared" si="704"/>
        <v>0.64268545298209945</v>
      </c>
      <c r="AO582" s="56">
        <f t="shared" si="704"/>
        <v>0.65172504854170754</v>
      </c>
      <c r="AP582" s="56">
        <f t="shared" si="704"/>
        <v>0.59359028288555138</v>
      </c>
      <c r="AQ582" s="286">
        <f t="shared" si="704"/>
        <v>0.67443766355758017</v>
      </c>
    </row>
    <row r="583" spans="1:43">
      <c r="A583" s="10" t="s">
        <v>26</v>
      </c>
      <c r="J583" s="197">
        <f t="shared" si="705"/>
        <v>0</v>
      </c>
      <c r="K583" s="197">
        <f t="shared" si="705"/>
        <v>27552.46371</v>
      </c>
      <c r="L583" s="197">
        <f t="shared" si="705"/>
        <v>0</v>
      </c>
      <c r="M583" s="197">
        <f t="shared" si="705"/>
        <v>2143.8412800000001</v>
      </c>
      <c r="N583" s="197">
        <f t="shared" si="705"/>
        <v>131.67215999999999</v>
      </c>
      <c r="O583" s="197">
        <f t="shared" si="705"/>
        <v>29.22</v>
      </c>
      <c r="P583" s="212">
        <f t="shared" si="696"/>
        <v>29857.19715</v>
      </c>
      <c r="Q583" s="202"/>
      <c r="R583" s="211">
        <f t="shared" si="706"/>
        <v>0</v>
      </c>
      <c r="S583" s="211">
        <f t="shared" si="706"/>
        <v>1.5978321526686128</v>
      </c>
      <c r="T583" s="211">
        <f t="shared" si="706"/>
        <v>0</v>
      </c>
      <c r="U583" s="211">
        <f t="shared" si="706"/>
        <v>0.1496432195571816</v>
      </c>
      <c r="V583" s="211">
        <f t="shared" si="706"/>
        <v>5.3519268394050558E-3</v>
      </c>
      <c r="W583" s="211">
        <f t="shared" si="706"/>
        <v>3.1310757834333288E-5</v>
      </c>
      <c r="X583" s="220">
        <f t="shared" si="698"/>
        <v>1.7528586098230337</v>
      </c>
      <c r="Z583" s="199">
        <f t="shared" si="701"/>
        <v>0</v>
      </c>
      <c r="AA583" s="237">
        <v>0.13038940931165</v>
      </c>
      <c r="AB583">
        <v>0</v>
      </c>
      <c r="AC583" s="216" t="s">
        <v>148</v>
      </c>
      <c r="AJ583" s="10" t="s">
        <v>26</v>
      </c>
      <c r="AK583" s="56" t="str">
        <f t="shared" si="704"/>
        <v/>
      </c>
      <c r="AL583" s="56">
        <f t="shared" si="704"/>
        <v>0.73372442054736065</v>
      </c>
      <c r="AM583" s="56" t="str">
        <f t="shared" si="704"/>
        <v/>
      </c>
      <c r="AN583" s="56">
        <f t="shared" si="704"/>
        <v>0.8271984164461551</v>
      </c>
      <c r="AO583" s="56">
        <f t="shared" si="704"/>
        <v>0.70838440570059102</v>
      </c>
      <c r="AP583" s="56">
        <f t="shared" si="704"/>
        <v>0.67630735558508559</v>
      </c>
      <c r="AQ583" s="286">
        <f t="shared" si="704"/>
        <v>0.74230845641189425</v>
      </c>
    </row>
    <row r="584" spans="1:43">
      <c r="A584" s="10" t="s">
        <v>27</v>
      </c>
      <c r="J584" s="197">
        <f t="shared" si="705"/>
        <v>552.57719999999995</v>
      </c>
      <c r="K584" s="197">
        <f t="shared" si="705"/>
        <v>444077.58319199993</v>
      </c>
      <c r="L584" s="197">
        <f t="shared" si="705"/>
        <v>10760.052600000001</v>
      </c>
      <c r="M584" s="197">
        <f t="shared" si="705"/>
        <v>8780.7180399999997</v>
      </c>
      <c r="N584" s="197">
        <f t="shared" si="705"/>
        <v>43534.378799999999</v>
      </c>
      <c r="O584" s="197">
        <f t="shared" si="705"/>
        <v>199.928</v>
      </c>
      <c r="P584" s="212">
        <f t="shared" si="696"/>
        <v>507905.23783199996</v>
      </c>
      <c r="Q584" s="202"/>
      <c r="R584" s="211">
        <f t="shared" si="706"/>
        <v>5.1880387545029286E-2</v>
      </c>
      <c r="S584" s="211">
        <f t="shared" si="706"/>
        <v>25.753103176977135</v>
      </c>
      <c r="T584" s="211">
        <f t="shared" si="706"/>
        <v>1.880067981274004</v>
      </c>
      <c r="U584" s="211">
        <f t="shared" si="706"/>
        <v>0.61290680881442183</v>
      </c>
      <c r="V584" s="211">
        <f t="shared" si="706"/>
        <v>1.7694918222390101</v>
      </c>
      <c r="W584" s="211">
        <f t="shared" si="706"/>
        <v>2.1423330569139579E-4</v>
      </c>
      <c r="X584" s="220">
        <f t="shared" si="698"/>
        <v>30.067664410155292</v>
      </c>
      <c r="Z584" s="199">
        <f t="shared" si="701"/>
        <v>0</v>
      </c>
      <c r="AA584" s="237">
        <v>2.0013724738963199</v>
      </c>
      <c r="AB584">
        <v>0</v>
      </c>
      <c r="AC584" s="216" t="s">
        <v>142</v>
      </c>
      <c r="AJ584" s="10" t="s">
        <v>27</v>
      </c>
      <c r="AK584" s="56">
        <f t="shared" si="704"/>
        <v>0.88022609804773877</v>
      </c>
      <c r="AL584" s="56">
        <f t="shared" si="704"/>
        <v>0.63385682815721711</v>
      </c>
      <c r="AM584" s="56">
        <f t="shared" si="704"/>
        <v>0.55620841034537527</v>
      </c>
      <c r="AN584" s="56">
        <f t="shared" si="704"/>
        <v>0.7396397406492069</v>
      </c>
      <c r="AO584" s="56">
        <f t="shared" si="704"/>
        <v>0.62552503846132224</v>
      </c>
      <c r="AP584" s="56">
        <f t="shared" si="704"/>
        <v>0.57881018916595006</v>
      </c>
      <c r="AQ584" s="286">
        <f t="shared" si="704"/>
        <v>0.63544857750889228</v>
      </c>
    </row>
    <row r="585" spans="1:43">
      <c r="A585" s="10" t="s">
        <v>28</v>
      </c>
      <c r="J585" s="197">
        <f t="shared" si="705"/>
        <v>64.307200000000009</v>
      </c>
      <c r="K585" s="197">
        <f t="shared" si="705"/>
        <v>3418.0653000000002</v>
      </c>
      <c r="L585" s="197">
        <f t="shared" si="705"/>
        <v>0</v>
      </c>
      <c r="M585" s="197">
        <f t="shared" si="705"/>
        <v>549.39150000000006</v>
      </c>
      <c r="N585" s="197">
        <f t="shared" si="705"/>
        <v>3758.6823999999997</v>
      </c>
      <c r="O585" s="197">
        <f t="shared" si="705"/>
        <v>0</v>
      </c>
      <c r="P585" s="212">
        <f t="shared" si="696"/>
        <v>7790.4464000000007</v>
      </c>
      <c r="Q585" s="202"/>
      <c r="R585" s="211">
        <f t="shared" si="706"/>
        <v>6.0376766503136715E-3</v>
      </c>
      <c r="S585" s="211">
        <f t="shared" si="706"/>
        <v>0.19822164339803383</v>
      </c>
      <c r="T585" s="211">
        <f t="shared" si="706"/>
        <v>0</v>
      </c>
      <c r="U585" s="211">
        <f t="shared" si="706"/>
        <v>3.8348320663621774E-2</v>
      </c>
      <c r="V585" s="211">
        <f t="shared" si="706"/>
        <v>0.15277484031065799</v>
      </c>
      <c r="W585" s="211">
        <f t="shared" si="706"/>
        <v>0</v>
      </c>
      <c r="X585" s="220">
        <f t="shared" si="698"/>
        <v>0.3953824810226273</v>
      </c>
      <c r="Z585" s="199">
        <f t="shared" si="701"/>
        <v>0</v>
      </c>
      <c r="AA585" s="237"/>
      <c r="AB585">
        <v>0</v>
      </c>
      <c r="AC585" s="216" t="s">
        <v>145</v>
      </c>
      <c r="AJ585" s="10" t="s">
        <v>28</v>
      </c>
      <c r="AK585" s="56">
        <f t="shared" si="704"/>
        <v>0.83611490915241815</v>
      </c>
      <c r="AL585" s="56">
        <f t="shared" si="704"/>
        <v>0.85252093374465077</v>
      </c>
      <c r="AM585" s="56" t="str">
        <f t="shared" si="704"/>
        <v/>
      </c>
      <c r="AN585" s="56">
        <f t="shared" si="704"/>
        <v>0.87864747696200018</v>
      </c>
      <c r="AO585" s="56">
        <f t="shared" si="704"/>
        <v>0.77486317084209599</v>
      </c>
      <c r="AP585" s="56" t="str">
        <f t="shared" si="704"/>
        <v/>
      </c>
      <c r="AQ585" s="286">
        <f t="shared" si="704"/>
        <v>0.829764013999575</v>
      </c>
    </row>
    <row r="586" spans="1:43">
      <c r="A586" s="10" t="s">
        <v>29</v>
      </c>
      <c r="J586" s="197">
        <f t="shared" si="705"/>
        <v>0</v>
      </c>
      <c r="K586" s="197">
        <f t="shared" si="705"/>
        <v>7369.5883999999987</v>
      </c>
      <c r="L586" s="197">
        <f t="shared" si="705"/>
        <v>9308.7954000000009</v>
      </c>
      <c r="M586" s="197">
        <f t="shared" si="705"/>
        <v>1840.3435999999999</v>
      </c>
      <c r="N586" s="197">
        <f t="shared" si="705"/>
        <v>45424.426319999999</v>
      </c>
      <c r="O586" s="197">
        <f t="shared" si="705"/>
        <v>53.079500000000003</v>
      </c>
      <c r="P586" s="212">
        <f t="shared" si="696"/>
        <v>63996.233220000002</v>
      </c>
      <c r="Q586" s="202"/>
      <c r="R586" s="211">
        <f t="shared" si="706"/>
        <v>0</v>
      </c>
      <c r="S586" s="211">
        <f t="shared" si="706"/>
        <v>0.42737975889901408</v>
      </c>
      <c r="T586" s="211">
        <f t="shared" si="706"/>
        <v>1.6264946674861733</v>
      </c>
      <c r="U586" s="211">
        <f t="shared" si="706"/>
        <v>0.12845864288771136</v>
      </c>
      <c r="V586" s="211">
        <f t="shared" si="706"/>
        <v>1.8463144098690676</v>
      </c>
      <c r="W586" s="211">
        <f t="shared" si="706"/>
        <v>5.6877459632699995E-5</v>
      </c>
      <c r="X586" s="220">
        <f t="shared" si="698"/>
        <v>4.0287043566015992</v>
      </c>
      <c r="Z586" s="199">
        <f t="shared" si="701"/>
        <v>0</v>
      </c>
      <c r="AA586" s="237">
        <v>13.2651405596283</v>
      </c>
      <c r="AB586">
        <v>0</v>
      </c>
      <c r="AC586" s="216" t="s">
        <v>143</v>
      </c>
      <c r="AJ586" s="10" t="s">
        <v>29</v>
      </c>
      <c r="AK586" s="56" t="str">
        <f t="shared" si="704"/>
        <v/>
      </c>
      <c r="AL586" s="56">
        <f t="shared" si="704"/>
        <v>0.55792058058480298</v>
      </c>
      <c r="AM586" s="56">
        <f t="shared" si="704"/>
        <v>0.43516802221501766</v>
      </c>
      <c r="AN586" s="56">
        <f t="shared" si="704"/>
        <v>0.76500746173808076</v>
      </c>
      <c r="AO586" s="56">
        <f t="shared" si="704"/>
        <v>0.51909526543101903</v>
      </c>
      <c r="AP586" s="56">
        <f t="shared" si="704"/>
        <v>0.66275641813045083</v>
      </c>
      <c r="AQ586" s="286">
        <f t="shared" si="704"/>
        <v>0.5296534010398648</v>
      </c>
    </row>
    <row r="587" spans="1:43">
      <c r="A587" s="11" t="s">
        <v>10</v>
      </c>
      <c r="J587" s="212">
        <f t="shared" ref="J587:P587" si="707">J575+J581</f>
        <v>302351.04537000001</v>
      </c>
      <c r="K587" s="212">
        <f t="shared" si="707"/>
        <v>897227.35088699986</v>
      </c>
      <c r="L587" s="212">
        <f t="shared" si="707"/>
        <v>21266.6561</v>
      </c>
      <c r="M587" s="212">
        <f t="shared" si="707"/>
        <v>33290.268049999999</v>
      </c>
      <c r="N587" s="212">
        <f t="shared" si="707"/>
        <v>191302.46197999996</v>
      </c>
      <c r="O587" s="212">
        <f t="shared" si="707"/>
        <v>67571.32239999999</v>
      </c>
      <c r="P587" s="212">
        <f t="shared" si="707"/>
        <v>1513009.104787</v>
      </c>
      <c r="Q587" s="202"/>
      <c r="R587" s="314">
        <f t="shared" ref="R587:W587" si="708">R575+R581</f>
        <v>28.387145558014939</v>
      </c>
      <c r="S587" s="229">
        <f t="shared" si="708"/>
        <v>52.032323664057984</v>
      </c>
      <c r="T587" s="229">
        <f t="shared" si="708"/>
        <v>3.7158516494961633</v>
      </c>
      <c r="U587" s="229">
        <f t="shared" si="708"/>
        <v>2.3237088199568481</v>
      </c>
      <c r="V587" s="229">
        <f t="shared" si="708"/>
        <v>7.7756511377578024</v>
      </c>
      <c r="W587" s="229">
        <f t="shared" si="708"/>
        <v>7.2406205072281321E-2</v>
      </c>
      <c r="X587" s="229">
        <f>X575+X581</f>
        <v>94.307087034356016</v>
      </c>
      <c r="Z587" s="199">
        <f t="shared" si="701"/>
        <v>0</v>
      </c>
      <c r="AA587" s="237">
        <v>1181.2885925431899</v>
      </c>
      <c r="AB587">
        <v>0</v>
      </c>
      <c r="AC587" s="216" t="s">
        <v>231</v>
      </c>
      <c r="AJ587" s="308" t="s">
        <v>290</v>
      </c>
      <c r="AK587" s="307">
        <f t="shared" ref="AK587:AQ587" si="709">IFERROR(((J570/11.63)+J598)/(J604+J575/41.868),"")</f>
        <v>0.39204926897185316</v>
      </c>
      <c r="AL587" s="307">
        <f t="shared" si="709"/>
        <v>0.61217311073180647</v>
      </c>
      <c r="AM587" s="307">
        <f t="shared" si="709"/>
        <v>0.51104730534580445</v>
      </c>
      <c r="AN587" s="307">
        <f t="shared" si="709"/>
        <v>0.6194268339655884</v>
      </c>
      <c r="AO587" s="307">
        <f t="shared" si="709"/>
        <v>0.49533079126723389</v>
      </c>
      <c r="AP587" s="307">
        <f t="shared" si="709"/>
        <v>0.50673100075082855</v>
      </c>
      <c r="AQ587" s="307">
        <f t="shared" si="709"/>
        <v>0.55198774642444726</v>
      </c>
    </row>
    <row r="588" spans="1:43">
      <c r="E588" s="68" t="s">
        <v>200</v>
      </c>
      <c r="F588" s="68"/>
      <c r="G588" s="68"/>
      <c r="H588" s="68"/>
      <c r="I588" s="68"/>
      <c r="J588" s="367">
        <f>J587/41.868</f>
        <v>7221.5306527658349</v>
      </c>
      <c r="K588" s="367">
        <f t="shared" ref="K588:P588" si="710">K587/41.868</f>
        <v>21429.907110131837</v>
      </c>
      <c r="L588" s="367">
        <f t="shared" si="710"/>
        <v>507.94535444731059</v>
      </c>
      <c r="M588" s="367">
        <f t="shared" si="710"/>
        <v>795.12439213719301</v>
      </c>
      <c r="N588" s="367">
        <f t="shared" si="710"/>
        <v>4569.1808058660545</v>
      </c>
      <c r="O588" s="367">
        <f t="shared" si="710"/>
        <v>1613.9133084933599</v>
      </c>
      <c r="P588" s="367">
        <f t="shared" si="710"/>
        <v>36137.601623841598</v>
      </c>
      <c r="R588" s="227">
        <v>28.38714555801495</v>
      </c>
      <c r="S588" s="227">
        <v>52.032323664057976</v>
      </c>
      <c r="T588" s="227">
        <v>3.6990794078189819</v>
      </c>
      <c r="U588" s="227">
        <v>2.3237088199568481</v>
      </c>
      <c r="V588" s="227">
        <v>7.7756513827321356</v>
      </c>
      <c r="W588" s="227">
        <v>7.2406205072281377E-2</v>
      </c>
      <c r="X588" s="227">
        <v>94.307087279330361</v>
      </c>
      <c r="Z588" s="199">
        <f t="shared" si="701"/>
        <v>9373.8566943236819</v>
      </c>
      <c r="AA588" s="237">
        <v>191.872812096394</v>
      </c>
      <c r="AB588" s="177">
        <v>48.854533333333322</v>
      </c>
      <c r="AC588" s="219" t="s">
        <v>144</v>
      </c>
    </row>
    <row r="589" spans="1:43">
      <c r="T589" s="228">
        <v>1.6772241677181242E-2</v>
      </c>
      <c r="U589" s="228"/>
      <c r="Z589" s="199">
        <f t="shared" si="701"/>
        <v>0</v>
      </c>
      <c r="AA589" s="237">
        <v>12.985564151813</v>
      </c>
      <c r="AB589">
        <v>0</v>
      </c>
      <c r="AC589" s="216" t="s">
        <v>146</v>
      </c>
    </row>
    <row r="590" spans="1:43">
      <c r="A590" s="213" t="s">
        <v>217</v>
      </c>
      <c r="J590" s="198">
        <f>SUM(Z559:Z562)/SUM(AA559:AA562)+J591</f>
        <v>93.888035092706119</v>
      </c>
      <c r="K590" s="215">
        <f>57.6177126758938+K591</f>
        <v>57.99235122805694</v>
      </c>
      <c r="L590" s="177">
        <f>SUM(Z564:Z567)/SUM(AA564:AA567)+L591</f>
        <v>174.72665340632292</v>
      </c>
      <c r="M590" s="198">
        <f>SUM(Z569:Z575)/SUM(AA569:AA575)+M591</f>
        <v>69.801445169103943</v>
      </c>
      <c r="N590" s="198">
        <f>SUM(Z577:Z592)/SUM(AA577:AA592)+N591</f>
        <v>40.645849809140039</v>
      </c>
      <c r="O590" s="198">
        <f>SUM(Z594:Z603)/SUM(AA594:AA603)+O591</f>
        <v>1.0715522872804</v>
      </c>
      <c r="P590" s="363">
        <f>P581/41.868</f>
        <v>17017.822170679276</v>
      </c>
      <c r="Q590" s="177"/>
      <c r="Z590" s="199">
        <f t="shared" si="701"/>
        <v>3710.5067498633562</v>
      </c>
      <c r="AA590" s="237">
        <v>25.9475996493941</v>
      </c>
      <c r="AB590">
        <v>143</v>
      </c>
      <c r="AC590" s="216" t="s">
        <v>147</v>
      </c>
    </row>
    <row r="591" spans="1:43">
      <c r="A591" s="504" t="s">
        <v>415</v>
      </c>
      <c r="B591" s="503"/>
      <c r="C591" s="503"/>
      <c r="D591" s="503"/>
      <c r="E591" s="503"/>
      <c r="F591" s="503"/>
      <c r="G591" s="503"/>
      <c r="H591" s="503"/>
      <c r="I591" s="503"/>
      <c r="J591" s="503">
        <v>1.112037831429713E-3</v>
      </c>
      <c r="K591" s="503">
        <v>0.3746385521631399</v>
      </c>
      <c r="L591" s="503">
        <v>9.9132935869450378E-4</v>
      </c>
      <c r="M591" s="503">
        <v>-4.2425520567839214E-3</v>
      </c>
      <c r="N591" s="503">
        <v>5.0179874697299809</v>
      </c>
      <c r="O591" s="503">
        <v>-2.8811211746417875E-3</v>
      </c>
      <c r="P591" s="364">
        <f>P575/41.868</f>
        <v>19119.779453162319</v>
      </c>
      <c r="Q591" s="177"/>
      <c r="R591" s="506">
        <f>R587-R588</f>
        <v>0</v>
      </c>
      <c r="S591" s="506">
        <f>S587-S588</f>
        <v>0</v>
      </c>
      <c r="T591" s="506">
        <f>T587-SUM(T588:T589)</f>
        <v>0</v>
      </c>
      <c r="U591" s="506">
        <f>U587-U588</f>
        <v>0</v>
      </c>
      <c r="V591" s="506">
        <f>V587-V588</f>
        <v>-2.4497433326331475E-7</v>
      </c>
      <c r="W591" s="506">
        <f>W587-W588</f>
        <v>0</v>
      </c>
      <c r="X591" s="202">
        <f>X587-X588</f>
        <v>-2.449743448096342E-7</v>
      </c>
      <c r="Z591" s="199">
        <f t="shared" si="701"/>
        <v>0</v>
      </c>
      <c r="AA591" s="237"/>
      <c r="AB591">
        <v>45.85</v>
      </c>
      <c r="AC591" s="216" t="s">
        <v>232</v>
      </c>
    </row>
    <row r="592" spans="1:43">
      <c r="K592" s="198"/>
      <c r="L592" s="198"/>
      <c r="N592" s="198"/>
      <c r="O592" s="198"/>
      <c r="P592" s="365">
        <f>P604-P590</f>
        <v>5906.0778293207259</v>
      </c>
      <c r="Q592" s="177"/>
      <c r="Z592" s="199">
        <f t="shared" si="701"/>
        <v>56502.33114973989</v>
      </c>
      <c r="AA592" s="237">
        <v>1232.3300141709899</v>
      </c>
      <c r="AB592">
        <v>45.85</v>
      </c>
      <c r="AC592" s="216" t="s">
        <v>233</v>
      </c>
    </row>
    <row r="593" spans="1:31">
      <c r="J593" s="198">
        <f t="shared" ref="J593:O593" si="711">J581/41.868</f>
        <v>14.734030763351482</v>
      </c>
      <c r="K593" s="198">
        <f t="shared" si="711"/>
        <v>12746.631385353969</v>
      </c>
      <c r="L593" s="198">
        <f t="shared" si="711"/>
        <v>501.05507069838535</v>
      </c>
      <c r="M593" s="198">
        <f t="shared" si="711"/>
        <v>324.0345925289003</v>
      </c>
      <c r="N593" s="198">
        <f t="shared" si="711"/>
        <v>2530.8028441769366</v>
      </c>
      <c r="O593" s="198">
        <f t="shared" si="711"/>
        <v>900.56424715773369</v>
      </c>
      <c r="P593" s="366">
        <f>SUM(P590:P592)</f>
        <v>42043.679453162316</v>
      </c>
      <c r="Q593" s="366"/>
      <c r="AA593" s="209" t="s">
        <v>240</v>
      </c>
      <c r="AE593" s="198"/>
    </row>
    <row r="594" spans="1:31">
      <c r="J594" s="198">
        <f t="shared" ref="J594:O594" si="712">J604-(J598/J595)</f>
        <v>14.734030763351484</v>
      </c>
      <c r="K594" s="198">
        <f t="shared" si="712"/>
        <v>12746.631385353969</v>
      </c>
      <c r="L594" s="198">
        <f t="shared" si="712"/>
        <v>501.05507069838535</v>
      </c>
      <c r="M594" s="198">
        <f t="shared" si="712"/>
        <v>324.0345925289003</v>
      </c>
      <c r="N594" s="198">
        <f t="shared" si="712"/>
        <v>2530.8028441769366</v>
      </c>
      <c r="O594" s="198">
        <f t="shared" si="712"/>
        <v>900.56424715773369</v>
      </c>
      <c r="P594" s="198"/>
      <c r="Z594" s="199">
        <f>AA594*AB594</f>
        <v>1733.9972003968892</v>
      </c>
      <c r="AA594" s="237">
        <v>19.728546983076601</v>
      </c>
      <c r="AB594" s="214">
        <v>87.892798282830157</v>
      </c>
      <c r="AC594" s="217" t="s">
        <v>221</v>
      </c>
    </row>
    <row r="595" spans="1:31">
      <c r="A595" s="68" t="s">
        <v>413</v>
      </c>
      <c r="J595" s="314">
        <f t="shared" ref="J595:P595" si="713">J598/(J604-J581/41.868)</f>
        <v>0.89033459895630007</v>
      </c>
      <c r="K595" s="314">
        <f t="shared" si="713"/>
        <v>0.89324383802894725</v>
      </c>
      <c r="L595" s="314">
        <f t="shared" si="713"/>
        <v>0.89929838701159115</v>
      </c>
      <c r="M595" s="314">
        <f t="shared" si="713"/>
        <v>0.89950735596636433</v>
      </c>
      <c r="N595" s="314">
        <f t="shared" si="713"/>
        <v>0.87263400397058311</v>
      </c>
      <c r="O595" s="314">
        <f t="shared" si="713"/>
        <v>0.88654236702191991</v>
      </c>
      <c r="P595" s="314">
        <f t="shared" si="713"/>
        <v>0.88925343549088443</v>
      </c>
      <c r="Z595" s="199">
        <f>AA595*AB595</f>
        <v>0</v>
      </c>
      <c r="AA595" s="237">
        <v>1023.2392361613</v>
      </c>
      <c r="AB595">
        <v>0</v>
      </c>
      <c r="AC595" s="216" t="s">
        <v>226</v>
      </c>
    </row>
    <row r="596" spans="1:31">
      <c r="A596" s="68" t="s">
        <v>276</v>
      </c>
      <c r="J596" s="198"/>
      <c r="K596" s="198"/>
      <c r="P596" s="198"/>
      <c r="R596" s="221" t="s">
        <v>401</v>
      </c>
      <c r="S596" s="195"/>
      <c r="T596" s="195"/>
      <c r="U596" s="195"/>
      <c r="V596" s="195"/>
      <c r="W596" s="195"/>
      <c r="X596" s="195"/>
      <c r="Z596" s="199"/>
      <c r="AA596" s="237"/>
      <c r="AB596">
        <v>0</v>
      </c>
      <c r="AC596" s="216" t="s">
        <v>227</v>
      </c>
    </row>
    <row r="597" spans="1:31">
      <c r="A597" s="68" t="str">
        <f>$A$556</f>
        <v>Dati 2017 lorda</v>
      </c>
      <c r="J597" s="210" t="s">
        <v>5</v>
      </c>
      <c r="K597" s="210" t="s">
        <v>210</v>
      </c>
      <c r="L597" s="210" t="s">
        <v>211</v>
      </c>
      <c r="M597" s="210" t="s">
        <v>214</v>
      </c>
      <c r="N597" s="210" t="s">
        <v>216</v>
      </c>
      <c r="O597" s="210" t="s">
        <v>215</v>
      </c>
      <c r="P597" s="210" t="s">
        <v>213</v>
      </c>
      <c r="R597" s="221" t="s">
        <v>5</v>
      </c>
      <c r="S597" s="221" t="s">
        <v>210</v>
      </c>
      <c r="T597" s="221" t="s">
        <v>211</v>
      </c>
      <c r="U597" s="221" t="s">
        <v>214</v>
      </c>
      <c r="V597" s="221" t="s">
        <v>216</v>
      </c>
      <c r="W597" s="221" t="s">
        <v>215</v>
      </c>
      <c r="X597" s="221" t="s">
        <v>213</v>
      </c>
      <c r="Z597" s="199">
        <f>AA597*AB597</f>
        <v>0</v>
      </c>
      <c r="AA597" s="237">
        <v>223.39277317252899</v>
      </c>
      <c r="AB597">
        <v>0</v>
      </c>
      <c r="AC597" s="216" t="s">
        <v>150</v>
      </c>
    </row>
    <row r="598" spans="1:31">
      <c r="A598" s="223" t="s">
        <v>275</v>
      </c>
      <c r="J598" s="209">
        <f t="shared" ref="J598:O598" si="714">SUM(J599:J603)</f>
        <v>46</v>
      </c>
      <c r="K598" s="209">
        <f t="shared" si="714"/>
        <v>3339.9000000000005</v>
      </c>
      <c r="L598" s="209">
        <f t="shared" si="714"/>
        <v>103.1</v>
      </c>
      <c r="M598" s="209">
        <f t="shared" si="714"/>
        <v>454.4</v>
      </c>
      <c r="N598" s="209">
        <f t="shared" si="714"/>
        <v>1082.5</v>
      </c>
      <c r="O598" s="209">
        <f t="shared" si="714"/>
        <v>226.10000000000002</v>
      </c>
      <c r="P598" s="298">
        <f t="shared" ref="P598:P609" si="715">SUM(J598:O598)</f>
        <v>5252.0000000000009</v>
      </c>
      <c r="Q598" s="223" t="s">
        <v>17</v>
      </c>
      <c r="R598" s="316">
        <f t="shared" ref="R598:R603" si="716">IFERROR(R575/J558*1000000,0)</f>
        <v>871.96634831648953</v>
      </c>
      <c r="S598" s="316">
        <f t="shared" ref="S598:S603" si="717">IFERROR(S575/K558*1000000,0)</f>
        <v>393.57208005536916</v>
      </c>
      <c r="T598" s="316">
        <f t="shared" ref="T598:T603" si="718">IFERROR(T575/L558*1000000,0)</f>
        <v>1631.2480362014308</v>
      </c>
      <c r="U598" s="316">
        <f t="shared" ref="U598:U603" si="719">IFERROR(U575/M558*1000000,0)</f>
        <v>718.55766398931439</v>
      </c>
      <c r="V598" s="316">
        <f t="shared" ref="V598:V603" si="720">IFERROR(V575/N558*1000000,0)</f>
        <v>453.0629246879995</v>
      </c>
      <c r="W598" s="316">
        <f t="shared" ref="W598:W603" si="721">IFERROR(W575/O558*1000000,0)</f>
        <v>10.546900468208419</v>
      </c>
      <c r="X598" s="316">
        <f t="shared" ref="X598:X603" si="722">IFERROR(X575/P558*1000000,0)</f>
        <v>550.5869245786306</v>
      </c>
      <c r="Z598" s="199">
        <f>AA598*AB598</f>
        <v>0</v>
      </c>
      <c r="AA598" s="237">
        <v>24.758974559059698</v>
      </c>
      <c r="AB598">
        <v>0</v>
      </c>
      <c r="AC598" s="216" t="s">
        <v>151</v>
      </c>
    </row>
    <row r="599" spans="1:31">
      <c r="A599" s="216" t="s">
        <v>25</v>
      </c>
      <c r="K599">
        <v>622.6</v>
      </c>
      <c r="L599">
        <v>8</v>
      </c>
      <c r="M599">
        <v>2.5</v>
      </c>
      <c r="N599">
        <v>202</v>
      </c>
      <c r="O599">
        <v>222.9</v>
      </c>
      <c r="P599" s="298">
        <f t="shared" si="715"/>
        <v>1058</v>
      </c>
      <c r="Q599" s="216" t="s">
        <v>18</v>
      </c>
      <c r="R599" s="317">
        <f t="shared" si="716"/>
        <v>0</v>
      </c>
      <c r="S599" s="317">
        <f t="shared" si="717"/>
        <v>566.75924855180062</v>
      </c>
      <c r="T599" s="317">
        <f t="shared" si="718"/>
        <v>1631.2480362014308</v>
      </c>
      <c r="U599" s="317">
        <f t="shared" si="719"/>
        <v>668.69784472001572</v>
      </c>
      <c r="V599" s="317">
        <f t="shared" si="720"/>
        <v>358.57768701623343</v>
      </c>
      <c r="W599" s="317">
        <f t="shared" si="721"/>
        <v>10.533358983966332</v>
      </c>
      <c r="X599" s="316">
        <f t="shared" si="722"/>
        <v>175.4549446307804</v>
      </c>
      <c r="Z599" s="199">
        <f>AA599*AB599</f>
        <v>0</v>
      </c>
      <c r="AA599" s="237">
        <v>4.5715401479433604</v>
      </c>
      <c r="AB599">
        <v>0</v>
      </c>
      <c r="AC599" s="218" t="s">
        <v>153</v>
      </c>
    </row>
    <row r="600" spans="1:31">
      <c r="A600" s="216" t="s">
        <v>26</v>
      </c>
      <c r="K600">
        <v>513.70000000000005</v>
      </c>
      <c r="M600">
        <v>70.099999999999994</v>
      </c>
      <c r="N600">
        <v>5.4</v>
      </c>
      <c r="O600">
        <v>0.4</v>
      </c>
      <c r="P600" s="298">
        <f t="shared" si="715"/>
        <v>589.6</v>
      </c>
      <c r="Q600" s="216" t="s">
        <v>19</v>
      </c>
      <c r="R600" s="317">
        <f t="shared" si="716"/>
        <v>0</v>
      </c>
      <c r="S600" s="317">
        <f t="shared" si="717"/>
        <v>688.36920907703586</v>
      </c>
      <c r="T600" s="317">
        <f t="shared" si="718"/>
        <v>0</v>
      </c>
      <c r="U600" s="317">
        <f t="shared" si="719"/>
        <v>1078.1531220819793</v>
      </c>
      <c r="V600" s="317">
        <f t="shared" si="720"/>
        <v>546.40215898426948</v>
      </c>
      <c r="W600" s="317">
        <f t="shared" si="721"/>
        <v>12.116041712279481</v>
      </c>
      <c r="X600" s="316">
        <f t="shared" si="722"/>
        <v>653.18345516796649</v>
      </c>
      <c r="Z600" s="199">
        <f>AA600*AB600</f>
        <v>0</v>
      </c>
      <c r="AA600" s="237">
        <v>88.109102946278597</v>
      </c>
      <c r="AB600">
        <v>0</v>
      </c>
      <c r="AC600" s="216" t="s">
        <v>228</v>
      </c>
    </row>
    <row r="601" spans="1:31">
      <c r="A601" s="216" t="s">
        <v>27</v>
      </c>
      <c r="J601">
        <v>36.9</v>
      </c>
      <c r="K601">
        <v>1940.9</v>
      </c>
      <c r="L601">
        <v>75.599999999999994</v>
      </c>
      <c r="M601">
        <v>217.6</v>
      </c>
      <c r="N601">
        <v>184</v>
      </c>
      <c r="O601">
        <v>1.4</v>
      </c>
      <c r="P601" s="298">
        <f t="shared" si="715"/>
        <v>2456.4</v>
      </c>
      <c r="Q601" s="216" t="s">
        <v>20</v>
      </c>
      <c r="R601" s="317">
        <f t="shared" si="716"/>
        <v>871.96634831648953</v>
      </c>
      <c r="S601" s="317">
        <f t="shared" si="717"/>
        <v>541.41659106513964</v>
      </c>
      <c r="T601" s="317">
        <f t="shared" si="718"/>
        <v>0</v>
      </c>
      <c r="U601" s="317">
        <f t="shared" si="719"/>
        <v>723.63158206810078</v>
      </c>
      <c r="V601" s="317">
        <f t="shared" si="720"/>
        <v>543.27242854896576</v>
      </c>
      <c r="W601" s="317">
        <f t="shared" si="721"/>
        <v>9.9375759122384277</v>
      </c>
      <c r="X601" s="316">
        <f t="shared" si="722"/>
        <v>825.03435321224697</v>
      </c>
      <c r="Z601" s="199">
        <f>AA601*AB601</f>
        <v>0</v>
      </c>
      <c r="AA601" s="237">
        <v>11.085331084608701</v>
      </c>
      <c r="AB601">
        <v>0</v>
      </c>
      <c r="AC601" s="216" t="s">
        <v>152</v>
      </c>
    </row>
    <row r="602" spans="1:31">
      <c r="A602" s="216" t="s">
        <v>28</v>
      </c>
      <c r="J602">
        <v>9.1</v>
      </c>
      <c r="K602">
        <v>191.9</v>
      </c>
      <c r="M602">
        <v>74.099999999999994</v>
      </c>
      <c r="N602">
        <v>106.4</v>
      </c>
      <c r="O602" s="177">
        <v>0</v>
      </c>
      <c r="P602" s="298">
        <f t="shared" si="715"/>
        <v>381.5</v>
      </c>
      <c r="Q602" s="216" t="s">
        <v>21</v>
      </c>
      <c r="R602" s="317">
        <f t="shared" si="716"/>
        <v>0</v>
      </c>
      <c r="S602" s="317">
        <f t="shared" si="717"/>
        <v>388.59224749140253</v>
      </c>
      <c r="T602" s="317">
        <f t="shared" si="718"/>
        <v>0</v>
      </c>
      <c r="U602" s="317">
        <f t="shared" si="719"/>
        <v>615.43934205598953</v>
      </c>
      <c r="V602" s="317">
        <f t="shared" si="720"/>
        <v>310.94075103992134</v>
      </c>
      <c r="W602" s="317">
        <f t="shared" si="721"/>
        <v>9.984724212878767</v>
      </c>
      <c r="X602" s="316">
        <f t="shared" si="722"/>
        <v>385.70660559141902</v>
      </c>
      <c r="Z602" s="199"/>
      <c r="AA602" s="237"/>
      <c r="AB602">
        <v>0</v>
      </c>
      <c r="AC602" s="216" t="s">
        <v>229</v>
      </c>
    </row>
    <row r="603" spans="1:31">
      <c r="A603" s="216" t="s">
        <v>29</v>
      </c>
      <c r="K603">
        <v>70.8</v>
      </c>
      <c r="L603">
        <v>19.5</v>
      </c>
      <c r="M603">
        <v>90.1</v>
      </c>
      <c r="N603">
        <v>584.70000000000005</v>
      </c>
      <c r="O603">
        <v>1.4</v>
      </c>
      <c r="P603" s="298">
        <f t="shared" si="715"/>
        <v>766.5</v>
      </c>
      <c r="Q603" s="216" t="s">
        <v>23</v>
      </c>
      <c r="R603" s="317">
        <f t="shared" si="716"/>
        <v>0</v>
      </c>
      <c r="S603" s="317">
        <f t="shared" si="717"/>
        <v>0</v>
      </c>
      <c r="T603" s="317">
        <f t="shared" si="718"/>
        <v>0</v>
      </c>
      <c r="U603" s="317">
        <f t="shared" si="719"/>
        <v>0</v>
      </c>
      <c r="V603" s="317">
        <f t="shared" si="720"/>
        <v>0</v>
      </c>
      <c r="W603" s="317">
        <f t="shared" si="721"/>
        <v>0</v>
      </c>
      <c r="X603" s="316">
        <f t="shared" si="722"/>
        <v>0</v>
      </c>
      <c r="Z603" s="199">
        <f>AA603*AB603</f>
        <v>0</v>
      </c>
      <c r="AA603" s="237">
        <v>218.985756534373</v>
      </c>
      <c r="AB603">
        <v>0</v>
      </c>
      <c r="AC603" s="216" t="s">
        <v>230</v>
      </c>
    </row>
    <row r="604" spans="1:31">
      <c r="A604" s="223" t="s">
        <v>277</v>
      </c>
      <c r="J604" s="209">
        <f t="shared" ref="J604:O604" si="723">SUM(J605:J609)</f>
        <v>66.400000000000006</v>
      </c>
      <c r="K604" s="209">
        <f t="shared" si="723"/>
        <v>16485.7</v>
      </c>
      <c r="L604" s="209">
        <f t="shared" si="723"/>
        <v>615.70000000000005</v>
      </c>
      <c r="M604" s="209">
        <f t="shared" si="723"/>
        <v>829.2</v>
      </c>
      <c r="N604" s="209">
        <f t="shared" si="723"/>
        <v>3771.2999999999997</v>
      </c>
      <c r="O604" s="209">
        <f t="shared" si="723"/>
        <v>1155.5999999999999</v>
      </c>
      <c r="P604" s="298">
        <f t="shared" si="715"/>
        <v>22923.9</v>
      </c>
      <c r="Q604" s="223" t="s">
        <v>24</v>
      </c>
      <c r="R604" s="316">
        <f t="shared" ref="R604:X609" si="724">IFERROR(R581/J564*1000000,0)</f>
        <v>418.18096891944373</v>
      </c>
      <c r="S604" s="316">
        <f t="shared" si="724"/>
        <v>356.63688784316292</v>
      </c>
      <c r="T604" s="316">
        <f t="shared" si="724"/>
        <v>1483.7459865517887</v>
      </c>
      <c r="U604" s="316">
        <f t="shared" si="724"/>
        <v>437.08639155308026</v>
      </c>
      <c r="V604" s="316">
        <f t="shared" si="724"/>
        <v>325.73333987625114</v>
      </c>
      <c r="W604" s="316">
        <f t="shared" si="724"/>
        <v>7.5514812798440634</v>
      </c>
      <c r="X604" s="316">
        <f t="shared" si="724"/>
        <v>362.91064105059581</v>
      </c>
    </row>
    <row r="605" spans="1:31">
      <c r="A605" s="216" t="s">
        <v>25</v>
      </c>
      <c r="J605">
        <v>0</v>
      </c>
      <c r="K605">
        <v>1919.1</v>
      </c>
      <c r="L605">
        <v>30.7</v>
      </c>
      <c r="M605">
        <v>8.8000000000000007</v>
      </c>
      <c r="N605" s="177">
        <v>539.20000000000005</v>
      </c>
      <c r="O605" s="177">
        <v>1145.3</v>
      </c>
      <c r="P605" s="298">
        <f t="shared" si="715"/>
        <v>3643.1000000000004</v>
      </c>
      <c r="Q605" s="216" t="s">
        <v>25</v>
      </c>
      <c r="R605" s="317">
        <f t="shared" si="724"/>
        <v>0</v>
      </c>
      <c r="S605" s="317">
        <f t="shared" si="724"/>
        <v>328.58466205817064</v>
      </c>
      <c r="T605" s="317">
        <f t="shared" si="724"/>
        <v>1170.8433044757699</v>
      </c>
      <c r="U605" s="317">
        <f t="shared" si="724"/>
        <v>480.02453842792784</v>
      </c>
      <c r="V605" s="317">
        <f t="shared" si="724"/>
        <v>306.67293680996153</v>
      </c>
      <c r="W605" s="317">
        <f t="shared" si="724"/>
        <v>7.5458712070285765</v>
      </c>
      <c r="X605" s="316">
        <f t="shared" si="724"/>
        <v>228.75682906065612</v>
      </c>
    </row>
    <row r="606" spans="1:31">
      <c r="A606" s="216" t="s">
        <v>26</v>
      </c>
      <c r="K606">
        <v>1231.0999999999999</v>
      </c>
      <c r="L606">
        <v>0</v>
      </c>
      <c r="M606">
        <v>129.1</v>
      </c>
      <c r="N606" s="177">
        <v>9.4</v>
      </c>
      <c r="O606" s="177">
        <v>1.1000000000000001</v>
      </c>
      <c r="P606" s="298">
        <f t="shared" si="715"/>
        <v>1370.6999999999998</v>
      </c>
      <c r="Q606" s="216" t="s">
        <v>26</v>
      </c>
      <c r="R606" s="317">
        <f t="shared" si="724"/>
        <v>0</v>
      </c>
      <c r="S606" s="317">
        <f t="shared" si="724"/>
        <v>352.65148781781426</v>
      </c>
      <c r="T606" s="317">
        <f t="shared" si="724"/>
        <v>0</v>
      </c>
      <c r="U606" s="317">
        <f t="shared" si="724"/>
        <v>350.68246052957818</v>
      </c>
      <c r="V606" s="317">
        <f t="shared" si="724"/>
        <v>365.56877318340543</v>
      </c>
      <c r="W606" s="317">
        <f t="shared" si="724"/>
        <v>7.8276894585833219</v>
      </c>
      <c r="X606" s="316">
        <f t="shared" si="724"/>
        <v>352.24346947071473</v>
      </c>
    </row>
    <row r="607" spans="1:31">
      <c r="A607" s="216" t="s">
        <v>27</v>
      </c>
      <c r="J607">
        <v>54.2</v>
      </c>
      <c r="K607">
        <v>12786.4</v>
      </c>
      <c r="L607">
        <v>341</v>
      </c>
      <c r="M607">
        <v>451.7</v>
      </c>
      <c r="N607" s="177">
        <v>1269.0999999999999</v>
      </c>
      <c r="O607" s="177">
        <v>6.4</v>
      </c>
      <c r="P607" s="298">
        <f t="shared" si="715"/>
        <v>14908.800000000001</v>
      </c>
      <c r="Q607" s="216" t="s">
        <v>27</v>
      </c>
      <c r="R607" s="317">
        <f t="shared" si="724"/>
        <v>412.73180226753612</v>
      </c>
      <c r="S607" s="317">
        <f t="shared" si="724"/>
        <v>359.25101738756706</v>
      </c>
      <c r="T607" s="317">
        <f t="shared" si="724"/>
        <v>1417.2078857786853</v>
      </c>
      <c r="U607" s="317">
        <f t="shared" si="724"/>
        <v>452.38316614096271</v>
      </c>
      <c r="V607" s="317">
        <f t="shared" si="724"/>
        <v>249.48422612850158</v>
      </c>
      <c r="W607" s="317">
        <f t="shared" si="724"/>
        <v>7.9937800631117826</v>
      </c>
      <c r="X607" s="316">
        <f t="shared" si="724"/>
        <v>368.42173867098222</v>
      </c>
    </row>
    <row r="608" spans="1:31">
      <c r="A608" s="216" t="s">
        <v>28</v>
      </c>
      <c r="J608">
        <v>12.2</v>
      </c>
      <c r="K608">
        <v>294.7</v>
      </c>
      <c r="M608">
        <v>95.5</v>
      </c>
      <c r="N608" s="177">
        <v>208.6</v>
      </c>
      <c r="O608" s="177">
        <v>0</v>
      </c>
      <c r="P608" s="298">
        <f t="shared" si="715"/>
        <v>611</v>
      </c>
      <c r="Q608" s="216" t="s">
        <v>28</v>
      </c>
      <c r="R608" s="317">
        <f t="shared" si="724"/>
        <v>471.69348830575558</v>
      </c>
      <c r="S608" s="317">
        <f t="shared" si="724"/>
        <v>287.23611563256605</v>
      </c>
      <c r="T608" s="317">
        <f t="shared" si="724"/>
        <v>0</v>
      </c>
      <c r="U608" s="317">
        <f t="shared" si="724"/>
        <v>336.09395848923555</v>
      </c>
      <c r="V608" s="317">
        <f t="shared" si="724"/>
        <v>237.81886723327833</v>
      </c>
      <c r="W608" s="317">
        <f t="shared" si="724"/>
        <v>0</v>
      </c>
      <c r="X608" s="316">
        <f t="shared" si="724"/>
        <v>270.92125601111911</v>
      </c>
    </row>
    <row r="609" spans="1:24">
      <c r="A609" s="216" t="s">
        <v>29</v>
      </c>
      <c r="K609">
        <v>254.4</v>
      </c>
      <c r="L609">
        <v>244</v>
      </c>
      <c r="M609">
        <v>144.1</v>
      </c>
      <c r="N609">
        <v>1745</v>
      </c>
      <c r="O609">
        <v>2.8</v>
      </c>
      <c r="P609" s="298">
        <f t="shared" si="715"/>
        <v>2390.3000000000002</v>
      </c>
      <c r="Q609" s="216" t="s">
        <v>29</v>
      </c>
      <c r="R609" s="317">
        <f t="shared" si="724"/>
        <v>0</v>
      </c>
      <c r="S609" s="317">
        <f t="shared" si="724"/>
        <v>516.59586473953118</v>
      </c>
      <c r="T609" s="317">
        <f t="shared" si="724"/>
        <v>1613.425917553986</v>
      </c>
      <c r="U609" s="317">
        <f t="shared" si="724"/>
        <v>548.49975613881884</v>
      </c>
      <c r="V609" s="317">
        <f t="shared" si="724"/>
        <v>494.37547122857029</v>
      </c>
      <c r="W609" s="317">
        <f t="shared" si="724"/>
        <v>10.731596157113207</v>
      </c>
      <c r="X609" s="316">
        <f t="shared" si="724"/>
        <v>693.46357140179759</v>
      </c>
    </row>
    <row r="610" spans="1:24">
      <c r="Q610" s="223" t="s">
        <v>10</v>
      </c>
      <c r="R610" s="316">
        <f t="shared" ref="R610:X610" si="725">R587/J570*1000000</f>
        <v>870.04007545850845</v>
      </c>
      <c r="S610" s="316">
        <f t="shared" si="725"/>
        <v>370.73439298967781</v>
      </c>
      <c r="T610" s="316">
        <f t="shared" si="725"/>
        <v>1485.5681643530017</v>
      </c>
      <c r="U610" s="316">
        <f t="shared" si="725"/>
        <v>569.18352589126073</v>
      </c>
      <c r="V610" s="316">
        <f t="shared" si="725"/>
        <v>372.42705053652799</v>
      </c>
      <c r="W610" s="316">
        <f t="shared" si="725"/>
        <v>8.6355152924113359</v>
      </c>
      <c r="X610" s="225">
        <f t="shared" si="725"/>
        <v>451.61129329530701</v>
      </c>
    </row>
    <row r="611" spans="1:24">
      <c r="J611" s="90">
        <f t="shared" ref="J611:O616" si="726">IFERROR((J564/11.63+J598)/J604,"")</f>
        <v>0.87212133141335757</v>
      </c>
      <c r="K611" s="90">
        <f t="shared" si="726"/>
        <v>0.65521506637731119</v>
      </c>
      <c r="L611" s="90">
        <f t="shared" si="726"/>
        <v>0.51245113706396572</v>
      </c>
      <c r="M611" s="90">
        <f t="shared" si="726"/>
        <v>0.77266115254102308</v>
      </c>
      <c r="N611" s="90">
        <f t="shared" si="726"/>
        <v>0.58849215960367185</v>
      </c>
      <c r="O611" s="90">
        <f t="shared" si="726"/>
        <v>0.59375475273571565</v>
      </c>
      <c r="P611" s="301">
        <f>P604-('5-x'!$W$82+'5-x'!$W$84)</f>
        <v>0</v>
      </c>
      <c r="R611" s="361">
        <f>'12'!AC6</f>
        <v>870.03937835503643</v>
      </c>
      <c r="S611" s="361">
        <f>'12'!AC7</f>
        <v>370.73451378086844</v>
      </c>
      <c r="T611" s="234"/>
      <c r="U611" s="234"/>
      <c r="V611" s="234"/>
      <c r="W611" s="234"/>
      <c r="X611" s="226">
        <f>'12'!AC11</f>
        <v>450.18648326345698</v>
      </c>
    </row>
    <row r="612" spans="1:24">
      <c r="J612" s="90" t="str">
        <f t="shared" si="726"/>
        <v/>
      </c>
      <c r="K612" s="90">
        <f t="shared" si="726"/>
        <v>0.72975406347549432</v>
      </c>
      <c r="L612" s="90">
        <f t="shared" si="726"/>
        <v>0.64065471472463942</v>
      </c>
      <c r="M612" s="90">
        <f t="shared" si="726"/>
        <v>0.64268545298209945</v>
      </c>
      <c r="N612" s="90">
        <f t="shared" si="726"/>
        <v>0.65172504854170754</v>
      </c>
      <c r="O612" s="90">
        <f t="shared" si="726"/>
        <v>0.59359028288555138</v>
      </c>
      <c r="P612" s="305">
        <f>(P581/41.868)-'5-x'!$W$82</f>
        <v>3.1711641313449945E-3</v>
      </c>
      <c r="R612" s="252">
        <f>R610-R611</f>
        <v>6.9710347202089906E-4</v>
      </c>
      <c r="S612" s="252">
        <f>S610-S611</f>
        <v>-1.2079119062491372E-4</v>
      </c>
      <c r="T612" s="252"/>
      <c r="U612" s="252"/>
      <c r="V612" s="252"/>
      <c r="W612" s="252"/>
      <c r="X612" s="252">
        <f>X610-X611</f>
        <v>1.4248100318500292</v>
      </c>
    </row>
    <row r="613" spans="1:24">
      <c r="J613" s="90" t="str">
        <f t="shared" si="726"/>
        <v/>
      </c>
      <c r="K613" s="90">
        <f t="shared" si="726"/>
        <v>0.73372442054736065</v>
      </c>
      <c r="L613" s="90" t="str">
        <f t="shared" si="726"/>
        <v/>
      </c>
      <c r="M613" s="90">
        <f t="shared" si="726"/>
        <v>0.8271984164461551</v>
      </c>
      <c r="N613" s="90">
        <f t="shared" si="726"/>
        <v>0.70838440570059102</v>
      </c>
      <c r="O613" s="90">
        <f t="shared" si="726"/>
        <v>0.67630735558508559</v>
      </c>
      <c r="P613" s="305">
        <f>(P575/41.868)-'5-x'!$W$83</f>
        <v>-2.7057418556069024E-3</v>
      </c>
    </row>
    <row r="614" spans="1:24">
      <c r="J614" s="90">
        <f t="shared" si="726"/>
        <v>0.88022609804773877</v>
      </c>
      <c r="K614" s="90">
        <f t="shared" si="726"/>
        <v>0.63385682815721711</v>
      </c>
      <c r="L614" s="90">
        <f t="shared" si="726"/>
        <v>0.55620841034537527</v>
      </c>
      <c r="M614" s="90">
        <f t="shared" si="726"/>
        <v>0.7396397406492069</v>
      </c>
      <c r="N614" s="90">
        <f t="shared" si="726"/>
        <v>0.62552503846132224</v>
      </c>
      <c r="O614" s="90">
        <f t="shared" si="726"/>
        <v>0.57881018916595006</v>
      </c>
    </row>
    <row r="615" spans="1:24">
      <c r="J615" s="90">
        <f t="shared" si="726"/>
        <v>0.83611490915241815</v>
      </c>
      <c r="K615" s="90">
        <f t="shared" si="726"/>
        <v>0.85252093374465077</v>
      </c>
      <c r="L615" s="90" t="str">
        <f t="shared" si="726"/>
        <v/>
      </c>
      <c r="M615" s="90">
        <f t="shared" si="726"/>
        <v>0.87864747696200018</v>
      </c>
      <c r="N615" s="90">
        <f t="shared" si="726"/>
        <v>0.77486317084209599</v>
      </c>
      <c r="O615" s="90" t="str">
        <f t="shared" si="726"/>
        <v/>
      </c>
    </row>
    <row r="616" spans="1:24">
      <c r="J616" s="90" t="str">
        <f t="shared" si="726"/>
        <v/>
      </c>
      <c r="K616" s="90">
        <f t="shared" si="726"/>
        <v>0.55792058058480298</v>
      </c>
      <c r="L616" s="90">
        <f t="shared" si="726"/>
        <v>0.43516802221501766</v>
      </c>
      <c r="M616" s="90">
        <f t="shared" si="726"/>
        <v>0.76500746173808076</v>
      </c>
      <c r="N616" s="90">
        <f t="shared" si="726"/>
        <v>0.51909526543101903</v>
      </c>
      <c r="O616" s="90">
        <f t="shared" si="726"/>
        <v>0.66275641813045083</v>
      </c>
    </row>
    <row r="617" spans="1:24">
      <c r="A617" s="68" t="str">
        <f>$A$556</f>
        <v>Dati 2017 lorda</v>
      </c>
    </row>
    <row r="618" spans="1:24">
      <c r="A618" s="68" t="s">
        <v>281</v>
      </c>
      <c r="B618" s="68"/>
      <c r="C618" s="68"/>
      <c r="D618" s="68"/>
      <c r="E618" s="68"/>
      <c r="J618" s="479">
        <v>0.20320213156557898</v>
      </c>
      <c r="K618" s="479">
        <v>9.0796748714022613</v>
      </c>
      <c r="L618" s="479">
        <v>0.84616339944470365</v>
      </c>
      <c r="M618" s="658">
        <v>1.2920455739803629</v>
      </c>
      <c r="N618" s="657">
        <v>1.9414737646345013</v>
      </c>
      <c r="O618" s="657">
        <v>7.8971999416557748E-4</v>
      </c>
      <c r="P618" s="323">
        <f>SUM(J618:O618)</f>
        <v>13.363349461021574</v>
      </c>
    </row>
    <row r="619" spans="1:24">
      <c r="A619" t="s">
        <v>282</v>
      </c>
      <c r="J619" s="211">
        <f t="shared" ref="J619:P619" si="727">J618/(J598*11.63)*1000000</f>
        <v>379.8312676466017</v>
      </c>
      <c r="K619" s="211">
        <f t="shared" si="727"/>
        <v>233.75295992953019</v>
      </c>
      <c r="L619" s="211">
        <f t="shared" si="727"/>
        <v>705.69307565612485</v>
      </c>
      <c r="M619" s="211">
        <f t="shared" si="727"/>
        <v>244.48926517679109</v>
      </c>
      <c r="N619" s="211">
        <f t="shared" si="727"/>
        <v>154.21403709324665</v>
      </c>
      <c r="O619" s="211">
        <f t="shared" si="727"/>
        <v>0.30032594795581485</v>
      </c>
      <c r="P619" s="211">
        <f t="shared" si="727"/>
        <v>218.78165008132791</v>
      </c>
    </row>
    <row r="621" spans="1:24">
      <c r="A621" s="68" t="s">
        <v>283</v>
      </c>
      <c r="J621" s="323">
        <f t="shared" ref="J621:O621" si="728">J618+R581</f>
        <v>0.26112019576092194</v>
      </c>
      <c r="K621" s="323">
        <f t="shared" si="728"/>
        <v>40.028798750506986</v>
      </c>
      <c r="L621" s="323">
        <f t="shared" si="728"/>
        <v>4.5116094846222428</v>
      </c>
      <c r="M621" s="323">
        <f t="shared" si="728"/>
        <v>2.2390194664636045</v>
      </c>
      <c r="N621" s="323">
        <f t="shared" si="728"/>
        <v>6.2482939258111045</v>
      </c>
      <c r="O621" s="323">
        <f t="shared" si="728"/>
        <v>4.119241028571527E-2</v>
      </c>
      <c r="P621" s="323">
        <f>P618+X581</f>
        <v>53.330034233450576</v>
      </c>
    </row>
    <row r="622" spans="1:24">
      <c r="A622" t="s">
        <v>284</v>
      </c>
      <c r="J622" s="90">
        <f t="shared" ref="J622:P622" si="729">J621/((J598*11.63)+J564)*1000000</f>
        <v>387.71781754606212</v>
      </c>
      <c r="K622" s="90">
        <f t="shared" si="729"/>
        <v>318.6409401680545</v>
      </c>
      <c r="L622" s="90">
        <f t="shared" si="729"/>
        <v>1229.5046385993339</v>
      </c>
      <c r="M622" s="90">
        <f t="shared" si="729"/>
        <v>300.48983395814332</v>
      </c>
      <c r="N622" s="90">
        <f t="shared" si="729"/>
        <v>242.07501864239049</v>
      </c>
      <c r="O622" s="90">
        <f t="shared" si="729"/>
        <v>5.1620577354360568</v>
      </c>
      <c r="P622" s="90">
        <f t="shared" si="729"/>
        <v>311.49096156053645</v>
      </c>
    </row>
    <row r="623" spans="1:24">
      <c r="J623" s="198"/>
      <c r="K623" s="198"/>
      <c r="L623" s="198"/>
      <c r="M623" s="198"/>
      <c r="N623" s="198"/>
      <c r="O623" s="198"/>
      <c r="P623" s="198"/>
    </row>
    <row r="624" spans="1:24">
      <c r="A624" t="s">
        <v>285</v>
      </c>
      <c r="J624" s="298">
        <f>IFERROR((J619*J598*11.63/1000000+R581)/(J598*11.63+J564)*1000000,"")</f>
        <v>387.71781754606212</v>
      </c>
      <c r="K624" s="298">
        <f t="shared" ref="K624:P624" si="730">IFERROR((K619*K598*11.63/1000000+S581)/(K598*11.63+K564)*1000000,"")</f>
        <v>318.6409401680545</v>
      </c>
      <c r="L624" s="298">
        <f t="shared" si="730"/>
        <v>1229.5046385993339</v>
      </c>
      <c r="M624" s="298">
        <f t="shared" si="730"/>
        <v>300.48983395814332</v>
      </c>
      <c r="N624" s="298">
        <f t="shared" si="730"/>
        <v>242.07501864239049</v>
      </c>
      <c r="O624" s="298">
        <f t="shared" si="730"/>
        <v>5.1620577354360568</v>
      </c>
      <c r="P624" s="298">
        <f t="shared" si="730"/>
        <v>311.49096156053645</v>
      </c>
      <c r="R624" s="285">
        <f t="shared" ref="R624:X629" si="731">IFERROR(J624/R604-1,"")</f>
        <v>-7.2846814268226256E-2</v>
      </c>
      <c r="S624" s="285">
        <f t="shared" si="731"/>
        <v>-0.10653958962264665</v>
      </c>
      <c r="T624" s="285">
        <f t="shared" si="731"/>
        <v>-0.17135099286321187</v>
      </c>
      <c r="U624" s="285">
        <f t="shared" si="731"/>
        <v>-0.31251615294993351</v>
      </c>
      <c r="V624" s="285">
        <f t="shared" si="731"/>
        <v>-0.25683069858812468</v>
      </c>
      <c r="W624" s="285">
        <f t="shared" si="731"/>
        <v>-0.3164178597364341</v>
      </c>
      <c r="X624" s="285">
        <f t="shared" si="731"/>
        <v>-0.14168688837892351</v>
      </c>
    </row>
    <row r="625" spans="1:24">
      <c r="A625" s="216" t="s">
        <v>25</v>
      </c>
      <c r="J625" s="211" t="str">
        <f t="shared" ref="J625:P629" si="732">IFERROR((J$619*J599*11.63/1000000+R582)/(J599*11.63+J565)*1000000,"")</f>
        <v/>
      </c>
      <c r="K625" s="211">
        <f t="shared" si="732"/>
        <v>286.42583351653025</v>
      </c>
      <c r="L625" s="211">
        <f t="shared" si="732"/>
        <v>981.64343873571647</v>
      </c>
      <c r="M625" s="211">
        <f t="shared" si="732"/>
        <v>375.90917438723147</v>
      </c>
      <c r="N625" s="211">
        <f t="shared" si="732"/>
        <v>219.03546225749153</v>
      </c>
      <c r="O625" s="211">
        <f t="shared" si="732"/>
        <v>5.170261460193295</v>
      </c>
      <c r="P625" s="211">
        <f t="shared" si="732"/>
        <v>224.46152950746313</v>
      </c>
      <c r="R625" s="284" t="str">
        <f t="shared" si="731"/>
        <v/>
      </c>
      <c r="S625" s="284">
        <f t="shared" si="731"/>
        <v>-0.12830431060770831</v>
      </c>
      <c r="T625" s="284">
        <f t="shared" si="731"/>
        <v>-0.16159281521002955</v>
      </c>
      <c r="U625" s="284">
        <f t="shared" si="731"/>
        <v>-0.21689592032455762</v>
      </c>
      <c r="V625" s="284">
        <f t="shared" si="731"/>
        <v>-0.28576853068315256</v>
      </c>
      <c r="W625" s="284">
        <f t="shared" si="731"/>
        <v>-0.31482246140412884</v>
      </c>
      <c r="X625" s="284">
        <f t="shared" si="731"/>
        <v>-1.8776705249984316E-2</v>
      </c>
    </row>
    <row r="626" spans="1:24">
      <c r="A626" s="216" t="s">
        <v>26</v>
      </c>
      <c r="J626" s="211" t="str">
        <f t="shared" si="732"/>
        <v/>
      </c>
      <c r="K626" s="211">
        <f t="shared" si="732"/>
        <v>285.03388999046877</v>
      </c>
      <c r="L626" s="211" t="str">
        <f t="shared" si="732"/>
        <v/>
      </c>
      <c r="M626" s="211">
        <f t="shared" si="732"/>
        <v>280.97507884810648</v>
      </c>
      <c r="N626" s="211">
        <f t="shared" si="732"/>
        <v>194.16953070601394</v>
      </c>
      <c r="O626" s="211">
        <f t="shared" si="732"/>
        <v>3.7803830494941906</v>
      </c>
      <c r="P626" s="211">
        <f t="shared" si="732"/>
        <v>274.90640291673924</v>
      </c>
      <c r="R626" s="284" t="str">
        <f t="shared" si="731"/>
        <v/>
      </c>
      <c r="S626" s="284">
        <f t="shared" si="731"/>
        <v>-0.19174057153638857</v>
      </c>
      <c r="T626" s="284" t="str">
        <f t="shared" si="731"/>
        <v/>
      </c>
      <c r="U626" s="284">
        <f t="shared" si="731"/>
        <v>-0.19877635618332345</v>
      </c>
      <c r="V626" s="284">
        <f t="shared" si="731"/>
        <v>-0.46885635494747435</v>
      </c>
      <c r="W626" s="284">
        <f t="shared" si="731"/>
        <v>-0.51704994564534301</v>
      </c>
      <c r="X626" s="284">
        <f t="shared" si="731"/>
        <v>-0.2195557143193686</v>
      </c>
    </row>
    <row r="627" spans="1:24">
      <c r="A627" s="216" t="s">
        <v>27</v>
      </c>
      <c r="J627" s="211">
        <f t="shared" si="732"/>
        <v>387.28484890747444</v>
      </c>
      <c r="K627" s="211">
        <f t="shared" si="732"/>
        <v>329.19712658793486</v>
      </c>
      <c r="L627" s="211">
        <f t="shared" si="732"/>
        <v>1133.6029340442626</v>
      </c>
      <c r="M627" s="211">
        <f t="shared" si="732"/>
        <v>316.97953491163747</v>
      </c>
      <c r="N627" s="211">
        <f t="shared" si="732"/>
        <v>227.40243449194699</v>
      </c>
      <c r="O627" s="211">
        <f t="shared" si="732"/>
        <v>5.0861894242609988</v>
      </c>
      <c r="P627" s="211">
        <f t="shared" si="732"/>
        <v>329.62243380883331</v>
      </c>
      <c r="R627" s="284">
        <f t="shared" si="731"/>
        <v>-6.1654937226200857E-2</v>
      </c>
      <c r="S627" s="284">
        <f t="shared" si="731"/>
        <v>-8.365707915924836E-2</v>
      </c>
      <c r="T627" s="284">
        <f t="shared" si="731"/>
        <v>-0.20011527919109473</v>
      </c>
      <c r="U627" s="284">
        <f t="shared" si="731"/>
        <v>-0.29931182538108292</v>
      </c>
      <c r="V627" s="284">
        <f t="shared" si="731"/>
        <v>-8.8509770654522035E-2</v>
      </c>
      <c r="W627" s="284">
        <f t="shared" si="731"/>
        <v>-0.36373162832790396</v>
      </c>
      <c r="X627" s="284">
        <f t="shared" si="731"/>
        <v>-0.10531220280896214</v>
      </c>
    </row>
    <row r="628" spans="1:24">
      <c r="A628" s="216" t="s">
        <v>28</v>
      </c>
      <c r="J628" s="211">
        <f t="shared" si="732"/>
        <v>389.74281354392508</v>
      </c>
      <c r="K628" s="211">
        <f t="shared" si="732"/>
        <v>246.38472817826215</v>
      </c>
      <c r="L628" s="211" t="str">
        <f t="shared" si="732"/>
        <v/>
      </c>
      <c r="M628" s="211">
        <f t="shared" si="732"/>
        <v>255.19966335664452</v>
      </c>
      <c r="N628" s="211">
        <f t="shared" si="732"/>
        <v>182.78453854335299</v>
      </c>
      <c r="O628" s="211" t="str">
        <f t="shared" si="732"/>
        <v/>
      </c>
      <c r="P628" s="211">
        <f t="shared" si="732"/>
        <v>231.68690433957821</v>
      </c>
      <c r="R628" s="284">
        <f t="shared" si="731"/>
        <v>-0.17373713395150669</v>
      </c>
      <c r="S628" s="284">
        <f t="shared" si="731"/>
        <v>-0.14222232244137856</v>
      </c>
      <c r="T628" s="284" t="str">
        <f t="shared" si="731"/>
        <v/>
      </c>
      <c r="U628" s="284">
        <f t="shared" si="731"/>
        <v>-0.24068952472759764</v>
      </c>
      <c r="V628" s="284">
        <f t="shared" si="731"/>
        <v>-0.23141279466250986</v>
      </c>
      <c r="W628" s="284" t="str">
        <f t="shared" si="731"/>
        <v/>
      </c>
      <c r="X628" s="284">
        <f t="shared" si="731"/>
        <v>-0.14481828502201632</v>
      </c>
    </row>
    <row r="629" spans="1:24">
      <c r="A629" s="216" t="s">
        <v>29</v>
      </c>
      <c r="J629" s="211" t="str">
        <f t="shared" si="732"/>
        <v/>
      </c>
      <c r="K629" s="211">
        <f t="shared" si="732"/>
        <v>375.50819596779854</v>
      </c>
      <c r="L629" s="211">
        <f t="shared" si="732"/>
        <v>1446.7219794951332</v>
      </c>
      <c r="M629" s="211">
        <f t="shared" si="732"/>
        <v>300.02417803466687</v>
      </c>
      <c r="N629" s="211">
        <f t="shared" si="732"/>
        <v>274.80412297979859</v>
      </c>
      <c r="O629" s="211">
        <f t="shared" si="732"/>
        <v>2.8619852987358243</v>
      </c>
      <c r="P629" s="211">
        <f t="shared" si="732"/>
        <v>406.07421889449648</v>
      </c>
      <c r="R629" s="284" t="str">
        <f t="shared" si="731"/>
        <v/>
      </c>
      <c r="S629" s="284">
        <f t="shared" si="731"/>
        <v>-0.27311033324447798</v>
      </c>
      <c r="T629" s="284">
        <f t="shared" si="731"/>
        <v>-0.10332295784090428</v>
      </c>
      <c r="U629" s="284">
        <f t="shared" si="731"/>
        <v>-0.45300945957260497</v>
      </c>
      <c r="V629" s="284">
        <f t="shared" si="731"/>
        <v>-0.44413883986419456</v>
      </c>
      <c r="W629" s="284">
        <f t="shared" si="731"/>
        <v>-0.73331224387913452</v>
      </c>
      <c r="X629" s="284">
        <f t="shared" si="731"/>
        <v>-0.41442602662798811</v>
      </c>
    </row>
    <row r="631" spans="1:24">
      <c r="J631" s="211"/>
      <c r="K631" s="211"/>
      <c r="L631" s="211"/>
      <c r="M631" s="211"/>
      <c r="N631" s="211"/>
      <c r="O631" s="211"/>
      <c r="P631" s="211"/>
    </row>
    <row r="632" spans="1:24">
      <c r="J632" s="211"/>
      <c r="K632" s="211"/>
      <c r="L632" s="211"/>
      <c r="M632" s="211"/>
      <c r="N632" s="211"/>
      <c r="O632" s="211"/>
      <c r="P632" s="211"/>
    </row>
    <row r="633" spans="1:24">
      <c r="J633" s="211"/>
      <c r="K633" s="211"/>
      <c r="L633" s="211"/>
      <c r="M633" s="211"/>
      <c r="N633" s="211"/>
      <c r="O633" s="211"/>
      <c r="P633" s="211"/>
    </row>
    <row r="634" spans="1:24">
      <c r="J634" s="211"/>
      <c r="K634" s="211"/>
      <c r="L634" s="211"/>
      <c r="M634" s="211"/>
      <c r="N634" s="211"/>
      <c r="O634" s="211"/>
      <c r="P634" s="211"/>
    </row>
    <row r="635" spans="1:24">
      <c r="J635" s="211"/>
      <c r="K635" s="211"/>
      <c r="L635" s="211"/>
      <c r="M635" s="211"/>
      <c r="N635" s="211"/>
      <c r="O635" s="211"/>
      <c r="P635" s="211"/>
    </row>
    <row r="636" spans="1:24">
      <c r="J636" s="211"/>
      <c r="K636" s="211"/>
      <c r="L636" s="211"/>
      <c r="M636" s="211"/>
      <c r="N636" s="211"/>
      <c r="O636" s="211"/>
      <c r="P636" s="211"/>
    </row>
    <row r="640" spans="1:24">
      <c r="J640" s="196">
        <f>J689*((J649/11.63)/((J649/11.63)+J683))*41.868</f>
        <v>571.11442068255064</v>
      </c>
      <c r="K640" s="196">
        <f t="shared" ref="K640:P640" si="733">K689*((K649/11.63)/((K649/11.63)+K683))*41.868</f>
        <v>442129.81715714716</v>
      </c>
      <c r="L640" s="196">
        <f t="shared" si="733"/>
        <v>19484.137156008066</v>
      </c>
      <c r="M640" s="196">
        <f t="shared" si="733"/>
        <v>10292.364947095528</v>
      </c>
      <c r="N640" s="196">
        <f t="shared" si="733"/>
        <v>83270.751021985052</v>
      </c>
      <c r="O640" s="196">
        <f t="shared" si="733"/>
        <v>32236.611989794565</v>
      </c>
      <c r="P640" s="196">
        <f t="shared" si="733"/>
        <v>587056.93140308151</v>
      </c>
    </row>
    <row r="641" spans="1:43">
      <c r="A641" s="68" t="s">
        <v>253</v>
      </c>
      <c r="J641" s="68" t="s">
        <v>199</v>
      </c>
      <c r="R641" s="68" t="s">
        <v>136</v>
      </c>
      <c r="S641" s="68"/>
      <c r="AJ641" s="68" t="s">
        <v>288</v>
      </c>
    </row>
    <row r="642" spans="1:43" ht="15.6">
      <c r="A642" s="68"/>
      <c r="J642" s="210" t="s">
        <v>5</v>
      </c>
      <c r="K642" s="210" t="s">
        <v>210</v>
      </c>
      <c r="L642" s="210" t="s">
        <v>211</v>
      </c>
      <c r="M642" s="210" t="s">
        <v>214</v>
      </c>
      <c r="N642" s="210" t="s">
        <v>216</v>
      </c>
      <c r="O642" s="210" t="s">
        <v>215</v>
      </c>
      <c r="P642" s="210" t="s">
        <v>213</v>
      </c>
      <c r="Q642" s="2"/>
      <c r="R642" s="210" t="s">
        <v>5</v>
      </c>
      <c r="S642" s="210" t="s">
        <v>210</v>
      </c>
      <c r="T642" s="210" t="s">
        <v>211</v>
      </c>
      <c r="U642" s="210" t="s">
        <v>214</v>
      </c>
      <c r="V642" s="210" t="s">
        <v>216</v>
      </c>
      <c r="W642" s="210" t="s">
        <v>215</v>
      </c>
      <c r="X642" s="210" t="s">
        <v>213</v>
      </c>
      <c r="AA642" s="68" t="s">
        <v>218</v>
      </c>
      <c r="AB642" s="213" t="s">
        <v>217</v>
      </c>
      <c r="AJ642" s="68"/>
      <c r="AK642" s="210" t="s">
        <v>5</v>
      </c>
      <c r="AL642" s="210" t="s">
        <v>210</v>
      </c>
      <c r="AM642" s="210" t="s">
        <v>211</v>
      </c>
      <c r="AN642" s="210" t="s">
        <v>214</v>
      </c>
      <c r="AO642" s="210" t="s">
        <v>216</v>
      </c>
      <c r="AP642" s="210" t="s">
        <v>215</v>
      </c>
      <c r="AQ642" s="210" t="s">
        <v>213</v>
      </c>
    </row>
    <row r="643" spans="1:43" ht="15.6">
      <c r="A643" s="11" t="s">
        <v>17</v>
      </c>
      <c r="J643" s="209">
        <f t="shared" ref="J643:P643" si="734">SUM(J644:J648)</f>
        <v>35469.199999999997</v>
      </c>
      <c r="K643" s="209">
        <f t="shared" si="734"/>
        <v>44988.799999999996</v>
      </c>
      <c r="L643" s="209">
        <f t="shared" si="734"/>
        <v>35.1</v>
      </c>
      <c r="M643" s="209">
        <f t="shared" si="734"/>
        <v>1911.6000000000001</v>
      </c>
      <c r="N643" s="209">
        <f t="shared" si="734"/>
        <v>8014.4000000000005</v>
      </c>
      <c r="O643" s="209">
        <f t="shared" si="734"/>
        <v>3148.2999999999997</v>
      </c>
      <c r="P643" s="209">
        <f t="shared" si="734"/>
        <v>93567.4</v>
      </c>
      <c r="Q643" s="2"/>
      <c r="R643" s="68">
        <v>9.4350000000000005</v>
      </c>
      <c r="S643" s="68">
        <v>6.8220000000000001</v>
      </c>
      <c r="T643" s="68">
        <v>8.9250000000000007</v>
      </c>
      <c r="U643" s="68">
        <v>10.314</v>
      </c>
      <c r="V643" s="68">
        <v>11.378</v>
      </c>
      <c r="W643" s="68">
        <v>9.859</v>
      </c>
      <c r="X643" s="68">
        <v>8.3770000000000007</v>
      </c>
      <c r="AA643" s="68" t="s">
        <v>5</v>
      </c>
      <c r="AJ643" s="11" t="s">
        <v>17</v>
      </c>
      <c r="AK643" s="286">
        <f>IFERROR(J643*3.6/J660,"")</f>
        <v>0.38154185302159954</v>
      </c>
      <c r="AL643" s="286">
        <f t="shared" ref="AL643:AQ643" si="735">IFERROR(K643*3.6/K660,"")</f>
        <v>0.52767694076486116</v>
      </c>
      <c r="AM643" s="286">
        <f t="shared" si="735"/>
        <v>0.40336134453781514</v>
      </c>
      <c r="AN643" s="286">
        <f t="shared" si="735"/>
        <v>0.3490246641844173</v>
      </c>
      <c r="AO643" s="286">
        <f t="shared" si="735"/>
        <v>0.31640108174984594</v>
      </c>
      <c r="AP643" s="286">
        <f t="shared" si="735"/>
        <v>0.36513987228126421</v>
      </c>
      <c r="AQ643" s="286">
        <f t="shared" si="735"/>
        <v>0.42972653996244708</v>
      </c>
    </row>
    <row r="644" spans="1:43" ht="15.6">
      <c r="A644" s="10" t="s">
        <v>18</v>
      </c>
      <c r="K644">
        <v>242.6</v>
      </c>
      <c r="L644">
        <v>35.1</v>
      </c>
      <c r="M644">
        <v>259.2</v>
      </c>
      <c r="N644">
        <v>1285.9000000000001</v>
      </c>
      <c r="O644">
        <v>3091.2</v>
      </c>
      <c r="P644" s="68">
        <f>SUM(J644:O644)</f>
        <v>4914</v>
      </c>
      <c r="Q644" s="2"/>
      <c r="S644">
        <v>9.9320000000000004</v>
      </c>
      <c r="T644">
        <v>8.9250000000000007</v>
      </c>
      <c r="U644">
        <v>9.641</v>
      </c>
      <c r="V644">
        <v>8.9260000000000002</v>
      </c>
      <c r="W644">
        <v>9.8460000000000001</v>
      </c>
      <c r="X644" s="68">
        <v>9.5920000000000005</v>
      </c>
      <c r="Z644" s="199">
        <f>AA644*AB644</f>
        <v>756123.43301262904</v>
      </c>
      <c r="AA644" s="215">
        <v>7948.8</v>
      </c>
      <c r="AB644" s="214">
        <v>95.124224161210378</v>
      </c>
      <c r="AC644" s="216" t="s">
        <v>59</v>
      </c>
      <c r="AJ644" s="10" t="s">
        <v>18</v>
      </c>
      <c r="AK644" s="56" t="str">
        <f t="shared" ref="AK644:AQ644" si="736">IFERROR(J644*3.6/J661,"")</f>
        <v/>
      </c>
      <c r="AL644" s="56">
        <f t="shared" si="736"/>
        <v>0.3624647603705195</v>
      </c>
      <c r="AM644" s="56">
        <f t="shared" si="736"/>
        <v>0.40336134453781514</v>
      </c>
      <c r="AN644" s="56">
        <f t="shared" si="736"/>
        <v>0.37340524841821388</v>
      </c>
      <c r="AO644" s="56">
        <f t="shared" si="736"/>
        <v>0.40331615505265522</v>
      </c>
      <c r="AP644" s="56">
        <f t="shared" si="736"/>
        <v>0.36563071297989036</v>
      </c>
      <c r="AQ644" s="286">
        <f t="shared" si="736"/>
        <v>0.3753085525040285</v>
      </c>
    </row>
    <row r="645" spans="1:43" ht="15.6">
      <c r="A645" s="10" t="s">
        <v>19</v>
      </c>
      <c r="K645">
        <v>363.9</v>
      </c>
      <c r="M645">
        <v>4.7</v>
      </c>
      <c r="N645">
        <v>15.5</v>
      </c>
      <c r="O645">
        <v>37.799999999999997</v>
      </c>
      <c r="P645" s="68">
        <f>SUM(J645:O645)</f>
        <v>421.9</v>
      </c>
      <c r="Q645" s="2"/>
      <c r="S645">
        <v>11.444000000000001</v>
      </c>
      <c r="U645">
        <v>15.141999999999999</v>
      </c>
      <c r="V645">
        <v>13.505000000000001</v>
      </c>
      <c r="W645">
        <v>11.365</v>
      </c>
      <c r="X645" s="68">
        <v>11.554</v>
      </c>
      <c r="Z645" s="199">
        <f>AA645*AB645</f>
        <v>0</v>
      </c>
      <c r="AA645" s="215">
        <v>0</v>
      </c>
      <c r="AB645" s="214">
        <v>95.124224161210378</v>
      </c>
      <c r="AC645" s="216" t="s">
        <v>60</v>
      </c>
      <c r="AJ645" s="10" t="s">
        <v>19</v>
      </c>
      <c r="AK645" s="56" t="str">
        <f t="shared" ref="AK645:AQ645" si="737">IFERROR(J645*3.6/J662,"")</f>
        <v/>
      </c>
      <c r="AL645" s="56">
        <f t="shared" si="737"/>
        <v>0.31457532331352672</v>
      </c>
      <c r="AM645" s="56" t="str">
        <f t="shared" si="737"/>
        <v/>
      </c>
      <c r="AN645" s="56">
        <f t="shared" si="737"/>
        <v>0.23774930656452253</v>
      </c>
      <c r="AO645" s="56">
        <f t="shared" si="737"/>
        <v>0.2665679378008145</v>
      </c>
      <c r="AP645" s="56">
        <f t="shared" si="737"/>
        <v>0.31676198856137261</v>
      </c>
      <c r="AQ645" s="286">
        <f t="shared" si="737"/>
        <v>0.31158482190251491</v>
      </c>
    </row>
    <row r="646" spans="1:43" ht="15.6">
      <c r="A646" s="10" t="s">
        <v>20</v>
      </c>
      <c r="J646">
        <v>35469.199999999997</v>
      </c>
      <c r="K646">
        <v>350.6</v>
      </c>
      <c r="M646">
        <v>1644</v>
      </c>
      <c r="N646">
        <v>4545.2</v>
      </c>
      <c r="O646">
        <v>8.6</v>
      </c>
      <c r="P646" s="68">
        <f>SUM(J646:O646)</f>
        <v>42017.599999999991</v>
      </c>
      <c r="Q646" s="2"/>
      <c r="R646">
        <v>9.4353999999999996</v>
      </c>
      <c r="S646">
        <v>9.5310000000000006</v>
      </c>
      <c r="U646">
        <v>10.412000000000001</v>
      </c>
      <c r="V646">
        <v>13.872</v>
      </c>
      <c r="W646">
        <v>9.0299999999999994</v>
      </c>
      <c r="X646" s="68">
        <v>9.9540000000000006</v>
      </c>
      <c r="Z646" s="199">
        <f>AA646*AB646</f>
        <v>0</v>
      </c>
      <c r="AA646" s="215">
        <v>0</v>
      </c>
      <c r="AB646" s="214">
        <v>101</v>
      </c>
      <c r="AC646" s="216" t="s">
        <v>61</v>
      </c>
      <c r="AJ646" s="10" t="s">
        <v>20</v>
      </c>
      <c r="AK646" s="56">
        <f t="shared" ref="AK646:AQ646" si="738">IFERROR(J646*3.6/J663,"")</f>
        <v>0.38154185302159954</v>
      </c>
      <c r="AL646" s="56">
        <f t="shared" si="738"/>
        <v>0.37771482530689326</v>
      </c>
      <c r="AM646" s="56" t="str">
        <f t="shared" si="738"/>
        <v/>
      </c>
      <c r="AN646" s="56">
        <f t="shared" si="738"/>
        <v>0.34575489819439109</v>
      </c>
      <c r="AO646" s="56">
        <f t="shared" si="738"/>
        <v>0.25951557093425603</v>
      </c>
      <c r="AP646" s="56">
        <f t="shared" si="738"/>
        <v>0.39867109634551501</v>
      </c>
      <c r="AQ646" s="286">
        <f t="shared" si="738"/>
        <v>0.36165460088833196</v>
      </c>
    </row>
    <row r="647" spans="1:43" ht="15.6">
      <c r="A647" s="10" t="s">
        <v>21</v>
      </c>
      <c r="K647">
        <v>44031.7</v>
      </c>
      <c r="M647">
        <v>3.7</v>
      </c>
      <c r="N647">
        <v>2167.8000000000002</v>
      </c>
      <c r="O647">
        <v>10.7</v>
      </c>
      <c r="P647" s="68">
        <f>SUM(J647:O647)</f>
        <v>46213.899999999994</v>
      </c>
      <c r="Q647" s="2"/>
      <c r="S647" s="201">
        <v>6.7454599999999996</v>
      </c>
      <c r="U647" s="201">
        <v>8.02</v>
      </c>
      <c r="V647">
        <v>7.5880000000000001</v>
      </c>
      <c r="W647">
        <v>9.0299999999999994</v>
      </c>
      <c r="X647" s="68">
        <v>6.7850000000000001</v>
      </c>
      <c r="Z647" s="199">
        <f>AA647*AB647</f>
        <v>5631.55</v>
      </c>
      <c r="AA647" s="215">
        <v>59</v>
      </c>
      <c r="AB647" s="313">
        <v>95.45</v>
      </c>
      <c r="AC647" s="216" t="s">
        <v>62</v>
      </c>
      <c r="AJ647" s="10" t="s">
        <v>21</v>
      </c>
      <c r="AK647" s="56" t="str">
        <f t="shared" ref="AK647:AQ647" si="739">IFERROR(J647*3.6/J664,"")</f>
        <v/>
      </c>
      <c r="AL647" s="56">
        <f t="shared" si="739"/>
        <v>0.53369229081485925</v>
      </c>
      <c r="AM647" s="56" t="str">
        <f t="shared" si="739"/>
        <v/>
      </c>
      <c r="AN647" s="56">
        <f t="shared" si="739"/>
        <v>0.44887780548628431</v>
      </c>
      <c r="AO647" s="56">
        <f t="shared" si="739"/>
        <v>0.47443331576172909</v>
      </c>
      <c r="AP647" s="56">
        <f t="shared" si="739"/>
        <v>0.39867109634551501</v>
      </c>
      <c r="AQ647" s="286">
        <f t="shared" si="739"/>
        <v>0.53053424848013619</v>
      </c>
    </row>
    <row r="648" spans="1:43" ht="15.6">
      <c r="A648" s="10" t="s">
        <v>23</v>
      </c>
      <c r="P648" s="68">
        <f>SUM(J648:O648)</f>
        <v>0</v>
      </c>
      <c r="Q648" s="2"/>
      <c r="X648" s="68">
        <v>0</v>
      </c>
      <c r="Z648" s="199"/>
      <c r="AA648" s="209" t="s">
        <v>237</v>
      </c>
      <c r="AJ648" s="10" t="s">
        <v>23</v>
      </c>
      <c r="AK648" s="56" t="str">
        <f t="shared" ref="AK648:AQ648" si="740">IFERROR(J648*3.6/J665,"")</f>
        <v/>
      </c>
      <c r="AL648" s="56" t="str">
        <f t="shared" si="740"/>
        <v/>
      </c>
      <c r="AM648" s="56" t="str">
        <f t="shared" si="740"/>
        <v/>
      </c>
      <c r="AN648" s="56" t="str">
        <f t="shared" si="740"/>
        <v/>
      </c>
      <c r="AO648" s="56" t="str">
        <f t="shared" si="740"/>
        <v/>
      </c>
      <c r="AP648" s="56" t="str">
        <f t="shared" si="740"/>
        <v/>
      </c>
      <c r="AQ648" s="286" t="str">
        <f t="shared" si="740"/>
        <v/>
      </c>
    </row>
    <row r="649" spans="1:43" ht="15.6">
      <c r="A649" s="11" t="s">
        <v>24</v>
      </c>
      <c r="J649" s="209">
        <f t="shared" ref="J649:P649" si="741">SUM(J650:J654)</f>
        <v>138.5</v>
      </c>
      <c r="K649" s="209">
        <f t="shared" si="741"/>
        <v>81159.3</v>
      </c>
      <c r="L649" s="209">
        <f t="shared" si="741"/>
        <v>2796.8</v>
      </c>
      <c r="M649" s="209">
        <f t="shared" si="741"/>
        <v>2215.2000000000003</v>
      </c>
      <c r="N649" s="209">
        <f t="shared" si="741"/>
        <v>13618.9</v>
      </c>
      <c r="O649" s="209">
        <f t="shared" si="741"/>
        <v>5198.1000000000004</v>
      </c>
      <c r="P649" s="209">
        <f t="shared" si="741"/>
        <v>105126.8</v>
      </c>
      <c r="Q649" s="2"/>
      <c r="R649" s="68">
        <v>4.4470000000000001</v>
      </c>
      <c r="S649" s="68">
        <v>6.1189999999999998</v>
      </c>
      <c r="T649" s="68">
        <v>8.5579999999999998</v>
      </c>
      <c r="U649" s="68">
        <v>6.2430000000000003</v>
      </c>
      <c r="V649" s="68">
        <v>8.0030000000000001</v>
      </c>
      <c r="W649" s="68">
        <v>7.0410000000000004</v>
      </c>
      <c r="X649" s="68">
        <v>6.4740000000000002</v>
      </c>
      <c r="Z649" s="199">
        <f>AA649*AB649</f>
        <v>387.34864914820065</v>
      </c>
      <c r="AA649" s="237">
        <v>1.9</v>
      </c>
      <c r="AB649" s="214">
        <v>203.86771007800036</v>
      </c>
      <c r="AC649" s="216" t="s">
        <v>154</v>
      </c>
      <c r="AJ649" s="11" t="s">
        <v>24</v>
      </c>
      <c r="AK649" s="286">
        <f t="shared" ref="AK649:AP649" si="742">IFERROR(J649*3.6/J666,"")</f>
        <v>0.80957381929844741</v>
      </c>
      <c r="AL649" s="286">
        <f t="shared" si="742"/>
        <v>0.58832531075882899</v>
      </c>
      <c r="AM649" s="286">
        <f t="shared" si="742"/>
        <v>0.42062998820750619</v>
      </c>
      <c r="AN649" s="286">
        <f t="shared" si="742"/>
        <v>0.576621414215298</v>
      </c>
      <c r="AO649" s="286">
        <f t="shared" si="742"/>
        <v>0.44983746368544653</v>
      </c>
      <c r="AP649" s="286">
        <f t="shared" si="742"/>
        <v>0.51133952442076369</v>
      </c>
      <c r="AQ649" s="286">
        <f>IFERROR(P649*3.6/P666,"")</f>
        <v>0.55607243051807154</v>
      </c>
    </row>
    <row r="650" spans="1:43" ht="15.6">
      <c r="A650" s="10" t="s">
        <v>25</v>
      </c>
      <c r="K650">
        <v>8131</v>
      </c>
      <c r="L650">
        <v>129.69999999999999</v>
      </c>
      <c r="M650">
        <v>28.9</v>
      </c>
      <c r="N650">
        <v>1752.6</v>
      </c>
      <c r="O650">
        <v>5164.2</v>
      </c>
      <c r="P650" s="68">
        <f>SUM(J650:O650)</f>
        <v>15206.400000000001</v>
      </c>
      <c r="Q650" s="2"/>
      <c r="S650" s="201">
        <v>5.59</v>
      </c>
      <c r="T650">
        <v>7.7480000000000002</v>
      </c>
      <c r="U650">
        <v>6.7519999999999998</v>
      </c>
      <c r="V650">
        <v>7.5629999999999997</v>
      </c>
      <c r="W650">
        <v>7.0339999999999998</v>
      </c>
      <c r="X650" s="68">
        <v>6.3280000000000003</v>
      </c>
      <c r="Z650" s="199">
        <f>AA650*AB650</f>
        <v>102255.78905202427</v>
      </c>
      <c r="AA650" s="237">
        <v>412.5</v>
      </c>
      <c r="AB650" s="214">
        <v>247.89282194430126</v>
      </c>
      <c r="AC650" s="216" t="s">
        <v>155</v>
      </c>
      <c r="AJ650" s="10" t="s">
        <v>25</v>
      </c>
      <c r="AK650" s="56" t="str">
        <f t="shared" ref="AK650:AQ650" si="743">IFERROR(J650*3.6/J667,"")</f>
        <v/>
      </c>
      <c r="AL650" s="56">
        <f t="shared" si="743"/>
        <v>0.64400715563506261</v>
      </c>
      <c r="AM650" s="56">
        <f t="shared" si="743"/>
        <v>0.46463603510583373</v>
      </c>
      <c r="AN650" s="56">
        <f t="shared" si="743"/>
        <v>0.53317535545023698</v>
      </c>
      <c r="AO650" s="56">
        <f t="shared" si="743"/>
        <v>0.47600158667195558</v>
      </c>
      <c r="AP650" s="56">
        <f t="shared" si="743"/>
        <v>0.51179982940005686</v>
      </c>
      <c r="AQ650" s="286">
        <f t="shared" si="743"/>
        <v>0.56886385315689703</v>
      </c>
    </row>
    <row r="651" spans="1:43" ht="15.6">
      <c r="A651" s="10" t="s">
        <v>26</v>
      </c>
      <c r="K651">
        <v>4456.8</v>
      </c>
      <c r="L651">
        <v>0.1</v>
      </c>
      <c r="M651">
        <v>409.1</v>
      </c>
      <c r="N651">
        <v>13</v>
      </c>
      <c r="O651">
        <v>4.0999999999999996</v>
      </c>
      <c r="P651" s="68">
        <f>SUM(J651:O651)</f>
        <v>4883.1000000000013</v>
      </c>
      <c r="Q651" s="2"/>
      <c r="S651">
        <v>6.0510000000000002</v>
      </c>
      <c r="T651">
        <v>4.8730000000000002</v>
      </c>
      <c r="U651">
        <v>5.0170000000000003</v>
      </c>
      <c r="V651">
        <v>8.7439999999999998</v>
      </c>
      <c r="W651">
        <v>8.3849999999999998</v>
      </c>
      <c r="X651" s="68">
        <v>5.9740000000000002</v>
      </c>
      <c r="Z651" s="199">
        <f>AA651*AB651</f>
        <v>6873.9996861155923</v>
      </c>
      <c r="AA651" s="237">
        <v>157.30000000000001</v>
      </c>
      <c r="AB651" s="214">
        <v>43.699934431758372</v>
      </c>
      <c r="AC651" s="216" t="s">
        <v>156</v>
      </c>
      <c r="AJ651" s="10" t="s">
        <v>26</v>
      </c>
      <c r="AK651" s="56" t="str">
        <f t="shared" ref="AK651:AQ651" si="744">IFERROR(J651*3.6/J668,"")</f>
        <v/>
      </c>
      <c r="AL651" s="56">
        <f t="shared" si="744"/>
        <v>0.59494298463063955</v>
      </c>
      <c r="AM651" s="56">
        <f t="shared" si="744"/>
        <v>0.73876462138313148</v>
      </c>
      <c r="AN651" s="56">
        <f t="shared" si="744"/>
        <v>0.71756029499701024</v>
      </c>
      <c r="AO651" s="56">
        <f t="shared" si="744"/>
        <v>0.41171088746569079</v>
      </c>
      <c r="AP651" s="56">
        <f t="shared" si="744"/>
        <v>0.42933810375670844</v>
      </c>
      <c r="AQ651" s="286">
        <f t="shared" si="744"/>
        <v>0.6026639988379755</v>
      </c>
    </row>
    <row r="652" spans="1:43" ht="15.6">
      <c r="A652" s="10" t="s">
        <v>27</v>
      </c>
      <c r="J652">
        <v>127.3</v>
      </c>
      <c r="K652">
        <v>67150.399999999994</v>
      </c>
      <c r="L652">
        <v>1390.4</v>
      </c>
      <c r="M652">
        <v>1507.5</v>
      </c>
      <c r="N652">
        <v>7654.7</v>
      </c>
      <c r="O652">
        <v>26.3</v>
      </c>
      <c r="P652" s="68">
        <f>SUM(J652:O652)</f>
        <v>77856.599999999991</v>
      </c>
      <c r="Q652" s="2"/>
      <c r="R652">
        <v>4.3959999999999999</v>
      </c>
      <c r="S652" s="201">
        <v>6.1746400000000001</v>
      </c>
      <c r="T652">
        <v>8.1639999999999997</v>
      </c>
      <c r="U652">
        <v>6.4989999999999997</v>
      </c>
      <c r="V652">
        <v>6.1970000000000001</v>
      </c>
      <c r="W652">
        <v>7.665</v>
      </c>
      <c r="X652" s="68">
        <v>6.2160000000000002</v>
      </c>
      <c r="Z652" s="199">
        <f>AA652*AB652</f>
        <v>420.75</v>
      </c>
      <c r="AA652" s="237">
        <v>7.5</v>
      </c>
      <c r="AB652" s="214">
        <v>56.1</v>
      </c>
      <c r="AC652" s="217" t="s">
        <v>220</v>
      </c>
      <c r="AJ652" s="10" t="s">
        <v>27</v>
      </c>
      <c r="AK652" s="56">
        <f>IFERROR(J652*3.6/J669,"")</f>
        <v>0.81892629663330307</v>
      </c>
      <c r="AL652" s="56">
        <f t="shared" ref="AL652:AQ652" si="745">IFERROR(K652*3.6/K669,"")</f>
        <v>0.58302994182656798</v>
      </c>
      <c r="AM652" s="56">
        <f t="shared" si="745"/>
        <v>0.44096031357177862</v>
      </c>
      <c r="AN652" s="56">
        <f t="shared" si="745"/>
        <v>0.55393137405754733</v>
      </c>
      <c r="AO652" s="56">
        <f t="shared" si="745"/>
        <v>0.58092625463934155</v>
      </c>
      <c r="AP652" s="56">
        <f t="shared" si="745"/>
        <v>0.46966731898238745</v>
      </c>
      <c r="AQ652" s="286">
        <f t="shared" si="745"/>
        <v>0.57912812448925544</v>
      </c>
    </row>
    <row r="653" spans="1:43" ht="15.6">
      <c r="A653" s="10" t="s">
        <v>28</v>
      </c>
      <c r="J653">
        <v>11.2</v>
      </c>
      <c r="K653">
        <v>747.3</v>
      </c>
      <c r="M653">
        <v>111.8</v>
      </c>
      <c r="N653">
        <v>655.20000000000005</v>
      </c>
      <c r="O653">
        <v>0.1</v>
      </c>
      <c r="P653" s="68">
        <f>SUM(J653:O653)</f>
        <v>1525.6</v>
      </c>
      <c r="Q653" s="2"/>
      <c r="R653">
        <v>5.024</v>
      </c>
      <c r="S653">
        <v>4.9459999999999997</v>
      </c>
      <c r="U653">
        <v>5.1849999999999996</v>
      </c>
      <c r="V653">
        <v>5.8339999999999996</v>
      </c>
      <c r="W653">
        <v>4.9779999999999998</v>
      </c>
      <c r="X653" s="68">
        <v>5.3460000000000001</v>
      </c>
      <c r="AA653" s="209" t="s">
        <v>238</v>
      </c>
      <c r="AJ653" s="10" t="s">
        <v>28</v>
      </c>
      <c r="AK653" s="56">
        <f t="shared" ref="AK653:AQ653" si="746">IFERROR(J653*3.6/J670,"")</f>
        <v>0.71656050955414019</v>
      </c>
      <c r="AL653" s="56">
        <f t="shared" si="746"/>
        <v>0.72786089769510709</v>
      </c>
      <c r="AM653" s="56" t="str">
        <f t="shared" si="746"/>
        <v/>
      </c>
      <c r="AN653" s="56">
        <f t="shared" si="746"/>
        <v>0.69431051108968178</v>
      </c>
      <c r="AO653" s="56">
        <f t="shared" si="746"/>
        <v>0.61707233459033262</v>
      </c>
      <c r="AP653" s="56">
        <f>IFERROR(O653*3.6/O670,"")</f>
        <v>0.72318200080353556</v>
      </c>
      <c r="AQ653" s="286">
        <f t="shared" si="746"/>
        <v>0.67346883069327435</v>
      </c>
    </row>
    <row r="654" spans="1:43" ht="15.6">
      <c r="A654" s="10" t="s">
        <v>29</v>
      </c>
      <c r="K654">
        <v>673.8</v>
      </c>
      <c r="L654">
        <v>1276.5999999999999</v>
      </c>
      <c r="M654">
        <v>157.9</v>
      </c>
      <c r="N654">
        <v>3543.4</v>
      </c>
      <c r="O654">
        <v>3.4</v>
      </c>
      <c r="P654" s="68">
        <f>SUM(J654:O654)</f>
        <v>5655.0999999999995</v>
      </c>
      <c r="Q654" s="2"/>
      <c r="S654">
        <v>8.7159999999999993</v>
      </c>
      <c r="T654">
        <v>9.0709999999999997</v>
      </c>
      <c r="U654">
        <v>7.6349999999999998</v>
      </c>
      <c r="V654">
        <v>12.52</v>
      </c>
      <c r="W654">
        <v>10.265000000000001</v>
      </c>
      <c r="X654" s="68">
        <v>11.151</v>
      </c>
      <c r="Z654" s="199">
        <f t="shared" ref="Z654:Z660" si="747">AA654*AB654</f>
        <v>7.15</v>
      </c>
      <c r="AA654" s="237">
        <v>0.1</v>
      </c>
      <c r="AB654" s="214">
        <v>71.5</v>
      </c>
      <c r="AC654" s="216" t="s">
        <v>66</v>
      </c>
      <c r="AJ654" s="10" t="s">
        <v>29</v>
      </c>
      <c r="AK654" s="56" t="str">
        <f t="shared" ref="AK654:AQ654" si="748">IFERROR(J654*3.6/J671,"")</f>
        <v/>
      </c>
      <c r="AL654" s="56">
        <f t="shared" si="748"/>
        <v>0.41303350160624142</v>
      </c>
      <c r="AM654" s="56">
        <f t="shared" si="748"/>
        <v>0.39686914342409885</v>
      </c>
      <c r="AN654" s="56">
        <f t="shared" si="748"/>
        <v>0.47151277013752463</v>
      </c>
      <c r="AO654" s="56">
        <f t="shared" si="748"/>
        <v>0.28753993610223638</v>
      </c>
      <c r="AP654" s="56">
        <f t="shared" si="748"/>
        <v>0.35070628348757915</v>
      </c>
      <c r="AQ654" s="286">
        <f t="shared" si="748"/>
        <v>0.32285792293946475</v>
      </c>
    </row>
    <row r="655" spans="1:43" ht="15.6">
      <c r="A655" s="11" t="s">
        <v>10</v>
      </c>
      <c r="J655" s="209">
        <f t="shared" ref="J655:P655" si="749">J643+J649</f>
        <v>35607.699999999997</v>
      </c>
      <c r="K655" s="209">
        <f t="shared" si="749"/>
        <v>126148.1</v>
      </c>
      <c r="L655" s="209">
        <f t="shared" si="749"/>
        <v>2831.9</v>
      </c>
      <c r="M655" s="209">
        <f t="shared" si="749"/>
        <v>4126.8</v>
      </c>
      <c r="N655" s="209">
        <f t="shared" si="749"/>
        <v>21633.3</v>
      </c>
      <c r="O655" s="209">
        <f t="shared" si="749"/>
        <v>8346.4</v>
      </c>
      <c r="P655" s="209">
        <f t="shared" si="749"/>
        <v>198694.2</v>
      </c>
      <c r="Q655" s="2"/>
      <c r="R655" s="68">
        <v>9.4160000000000004</v>
      </c>
      <c r="S655" s="68">
        <v>6.37</v>
      </c>
      <c r="T655" s="68">
        <v>8.5630000000000006</v>
      </c>
      <c r="U655" s="68">
        <v>8.1289999999999996</v>
      </c>
      <c r="V655" s="68">
        <v>9.2530000000000001</v>
      </c>
      <c r="W655" s="68">
        <v>8.1039999999999992</v>
      </c>
      <c r="X655" s="236">
        <v>7.37</v>
      </c>
      <c r="Z655" s="199">
        <f t="shared" si="747"/>
        <v>0</v>
      </c>
      <c r="AA655" s="237">
        <v>0</v>
      </c>
      <c r="AB655" s="214">
        <v>96.331505453140551</v>
      </c>
      <c r="AC655" s="216" t="s">
        <v>67</v>
      </c>
      <c r="AJ655" s="11" t="s">
        <v>10</v>
      </c>
      <c r="AK655" s="286">
        <f t="shared" ref="AK655:AQ655" si="750">IFERROR(J655*3.6/J672,"")</f>
        <v>0.38232810513275212</v>
      </c>
      <c r="AL655" s="286">
        <f t="shared" si="750"/>
        <v>0.56515959015870942</v>
      </c>
      <c r="AM655" s="286">
        <f t="shared" si="750"/>
        <v>0.42040690699429761</v>
      </c>
      <c r="AN655" s="286">
        <f t="shared" si="750"/>
        <v>0.44285310628389596</v>
      </c>
      <c r="AO655" s="286">
        <f t="shared" si="750"/>
        <v>0.3890529129771787</v>
      </c>
      <c r="AP655" s="286">
        <f t="shared" si="750"/>
        <v>0.44424507186248469</v>
      </c>
      <c r="AQ655" s="286">
        <f t="shared" si="750"/>
        <v>0.48844484989063858</v>
      </c>
    </row>
    <row r="656" spans="1:43">
      <c r="J656" s="177">
        <f t="shared" ref="J656:P656" si="751">J649/11.63</f>
        <v>11.908856405846947</v>
      </c>
      <c r="K656" s="177">
        <f t="shared" si="751"/>
        <v>6978.443680137575</v>
      </c>
      <c r="L656" s="177">
        <f t="shared" si="751"/>
        <v>240.48151332760102</v>
      </c>
      <c r="M656" s="177">
        <f t="shared" si="751"/>
        <v>190.47291487532246</v>
      </c>
      <c r="N656" s="177">
        <f t="shared" si="751"/>
        <v>1171.0146173688736</v>
      </c>
      <c r="O656" s="177">
        <f t="shared" si="751"/>
        <v>446.95614789337918</v>
      </c>
      <c r="P656" s="177">
        <f t="shared" si="751"/>
        <v>9039.2777300085982</v>
      </c>
      <c r="Z656" s="199">
        <f t="shared" si="747"/>
        <v>227.16</v>
      </c>
      <c r="AA656" s="237">
        <v>3.6</v>
      </c>
      <c r="AB656" s="214">
        <v>63.1</v>
      </c>
      <c r="AC656" s="216" t="s">
        <v>69</v>
      </c>
    </row>
    <row r="657" spans="1:43">
      <c r="Z657" s="199">
        <f t="shared" si="747"/>
        <v>16857.786842971724</v>
      </c>
      <c r="AA657" s="237">
        <v>289.60000000000002</v>
      </c>
      <c r="AB657" s="214">
        <v>58.21058992738854</v>
      </c>
      <c r="AC657" s="216" t="s">
        <v>70</v>
      </c>
    </row>
    <row r="658" spans="1:43">
      <c r="A658" s="68" t="str">
        <f>$A$641</f>
        <v>Dati 2016 lorda</v>
      </c>
      <c r="J658" s="68" t="s">
        <v>189</v>
      </c>
      <c r="Z658" s="199">
        <f t="shared" si="747"/>
        <v>7461.87</v>
      </c>
      <c r="AA658" s="237">
        <v>100.7</v>
      </c>
      <c r="AB658" s="214">
        <v>74.099999999999994</v>
      </c>
      <c r="AC658" s="216" t="s">
        <v>71</v>
      </c>
    </row>
    <row r="659" spans="1:43">
      <c r="J659" s="210" t="s">
        <v>5</v>
      </c>
      <c r="K659" s="210" t="s">
        <v>210</v>
      </c>
      <c r="L659" s="210" t="s">
        <v>211</v>
      </c>
      <c r="M659" s="210" t="s">
        <v>214</v>
      </c>
      <c r="N659" s="210" t="s">
        <v>216</v>
      </c>
      <c r="O659" s="210" t="s">
        <v>215</v>
      </c>
      <c r="P659" s="210" t="s">
        <v>213</v>
      </c>
      <c r="R659" s="68" t="s">
        <v>234</v>
      </c>
      <c r="Z659" s="199">
        <f t="shared" si="747"/>
        <v>0</v>
      </c>
      <c r="AA659" s="237">
        <v>0</v>
      </c>
      <c r="AB659" s="214">
        <v>74.099999999999994</v>
      </c>
      <c r="AC659" s="216" t="s">
        <v>72</v>
      </c>
      <c r="AJ659" s="68"/>
    </row>
    <row r="660" spans="1:43">
      <c r="A660" s="11" t="s">
        <v>17</v>
      </c>
      <c r="J660" s="209">
        <f t="shared" ref="J660:O660" si="752">SUM(J661:J665)</f>
        <v>334666.08967999998</v>
      </c>
      <c r="K660" s="209">
        <f t="shared" si="752"/>
        <v>306929.614482</v>
      </c>
      <c r="L660" s="209">
        <f t="shared" si="752"/>
        <v>313.26750000000004</v>
      </c>
      <c r="M660" s="209">
        <f t="shared" si="752"/>
        <v>19717.116600000001</v>
      </c>
      <c r="N660" s="209">
        <f t="shared" si="752"/>
        <v>91187.551700000011</v>
      </c>
      <c r="O660" s="209">
        <f t="shared" si="752"/>
        <v>31039.831199999997</v>
      </c>
      <c r="P660" s="212">
        <f t="shared" ref="P660:P671" si="753">SUM(J660:O660)</f>
        <v>783853.47116199986</v>
      </c>
      <c r="Q660" s="202"/>
      <c r="R660" s="209">
        <f t="shared" ref="R660:W660" si="754">SUM(R661:R665)</f>
        <v>31.825595003146457</v>
      </c>
      <c r="S660" s="209">
        <f t="shared" si="754"/>
        <v>17.84439086599885</v>
      </c>
      <c r="T660" s="209">
        <f t="shared" si="754"/>
        <v>5.9461296200608679E-2</v>
      </c>
      <c r="U660" s="209">
        <f t="shared" si="754"/>
        <v>1.3718225118328358</v>
      </c>
      <c r="V660" s="209">
        <f t="shared" si="754"/>
        <v>3.7594017988306581</v>
      </c>
      <c r="W660" s="209">
        <f t="shared" si="754"/>
        <v>3.3439980164471236E-2</v>
      </c>
      <c r="X660" s="220">
        <f t="shared" ref="X660:X671" si="755">SUM(R660:W660)</f>
        <v>54.894111456173889</v>
      </c>
      <c r="Z660" s="199">
        <f t="shared" si="747"/>
        <v>31193.281061014462</v>
      </c>
      <c r="AA660" s="235">
        <v>407.2</v>
      </c>
      <c r="AB660" s="214">
        <v>76.604324806027662</v>
      </c>
      <c r="AC660" s="233" t="s">
        <v>73</v>
      </c>
      <c r="AJ660" s="68"/>
    </row>
    <row r="661" spans="1:43">
      <c r="A661" s="10" t="s">
        <v>18</v>
      </c>
      <c r="J661" s="197">
        <f t="shared" ref="J661:O665" si="756">IFERROR(J644*R644,"")</f>
        <v>0</v>
      </c>
      <c r="K661" s="197">
        <f t="shared" si="756"/>
        <v>2409.5032000000001</v>
      </c>
      <c r="L661" s="197">
        <f t="shared" si="756"/>
        <v>313.26750000000004</v>
      </c>
      <c r="M661" s="197">
        <f t="shared" si="756"/>
        <v>2498.9472000000001</v>
      </c>
      <c r="N661" s="197">
        <f t="shared" si="756"/>
        <v>11477.9434</v>
      </c>
      <c r="O661" s="197">
        <f t="shared" si="756"/>
        <v>30435.955199999997</v>
      </c>
      <c r="P661" s="212">
        <f t="shared" si="753"/>
        <v>47135.616499999996</v>
      </c>
      <c r="Q661" s="202"/>
      <c r="R661" s="211">
        <f t="shared" ref="R661:W665" si="757">J661*J$675/1000000</f>
        <v>0</v>
      </c>
      <c r="S661" s="211">
        <f t="shared" si="757"/>
        <v>0.14008461505494946</v>
      </c>
      <c r="T661" s="211">
        <f t="shared" si="757"/>
        <v>5.9461296200608679E-2</v>
      </c>
      <c r="U661" s="211">
        <f t="shared" si="757"/>
        <v>0.17386477416488125</v>
      </c>
      <c r="V661" s="211">
        <f t="shared" si="757"/>
        <v>0.47320275915288645</v>
      </c>
      <c r="W661" s="211">
        <f t="shared" si="757"/>
        <v>3.2789409569171084E-2</v>
      </c>
      <c r="X661" s="220">
        <f t="shared" si="755"/>
        <v>0.87940285414249697</v>
      </c>
      <c r="Z661" s="199"/>
      <c r="AA661" s="209" t="s">
        <v>239</v>
      </c>
      <c r="AJ661" s="68"/>
    </row>
    <row r="662" spans="1:43">
      <c r="A662" s="10" t="s">
        <v>19</v>
      </c>
      <c r="J662" s="197">
        <f t="shared" si="756"/>
        <v>0</v>
      </c>
      <c r="K662" s="197">
        <f t="shared" si="756"/>
        <v>4164.4715999999999</v>
      </c>
      <c r="L662" s="197">
        <f t="shared" si="756"/>
        <v>0</v>
      </c>
      <c r="M662" s="197">
        <f t="shared" si="756"/>
        <v>71.167400000000001</v>
      </c>
      <c r="N662" s="197">
        <f t="shared" si="756"/>
        <v>209.32750000000001</v>
      </c>
      <c r="O662" s="197">
        <f t="shared" si="756"/>
        <v>429.59699999999998</v>
      </c>
      <c r="P662" s="212">
        <f t="shared" si="753"/>
        <v>4874.5635000000002</v>
      </c>
      <c r="Q662" s="202"/>
      <c r="R662" s="211">
        <f t="shared" si="757"/>
        <v>0</v>
      </c>
      <c r="S662" s="211">
        <f t="shared" si="757"/>
        <v>0.24211563653174206</v>
      </c>
      <c r="T662" s="211">
        <f t="shared" si="757"/>
        <v>0</v>
      </c>
      <c r="U662" s="211">
        <f t="shared" si="757"/>
        <v>4.9514867416573542E-3</v>
      </c>
      <c r="V662" s="211">
        <f t="shared" si="757"/>
        <v>8.6299737779309705E-3</v>
      </c>
      <c r="W662" s="211">
        <f t="shared" si="757"/>
        <v>4.6281550521822261E-4</v>
      </c>
      <c r="X662" s="220">
        <f t="shared" si="755"/>
        <v>0.25615991255654857</v>
      </c>
      <c r="Z662" s="199">
        <f t="shared" ref="Z662:Z677" si="758">AA662*AB662</f>
        <v>0</v>
      </c>
      <c r="AA662" s="232">
        <v>0</v>
      </c>
      <c r="AB662" s="214">
        <v>63.1</v>
      </c>
      <c r="AC662" s="217" t="s">
        <v>219</v>
      </c>
      <c r="AJ662" s="68"/>
    </row>
    <row r="663" spans="1:43">
      <c r="A663" s="10" t="s">
        <v>20</v>
      </c>
      <c r="J663" s="197">
        <f t="shared" si="756"/>
        <v>334666.08967999998</v>
      </c>
      <c r="K663" s="197">
        <f t="shared" si="756"/>
        <v>3341.5686000000005</v>
      </c>
      <c r="L663" s="197">
        <f t="shared" si="756"/>
        <v>0</v>
      </c>
      <c r="M663" s="197">
        <f t="shared" si="756"/>
        <v>17117.328000000001</v>
      </c>
      <c r="N663" s="197">
        <f t="shared" si="756"/>
        <v>63051.0144</v>
      </c>
      <c r="O663" s="197">
        <f t="shared" si="756"/>
        <v>77.657999999999987</v>
      </c>
      <c r="P663" s="212">
        <f t="shared" si="753"/>
        <v>418253.65867999993</v>
      </c>
      <c r="Q663" s="202"/>
      <c r="R663" s="211">
        <f>J663*J$675/1000000</f>
        <v>31.825595003146457</v>
      </c>
      <c r="S663" s="211">
        <f t="shared" si="757"/>
        <v>0.19427338839421604</v>
      </c>
      <c r="T663" s="211">
        <f t="shared" si="757"/>
        <v>0</v>
      </c>
      <c r="U663" s="211">
        <f t="shared" si="757"/>
        <v>1.1909416761691478</v>
      </c>
      <c r="V663" s="211">
        <f t="shared" si="757"/>
        <v>2.5994128862378232</v>
      </c>
      <c r="W663" s="211">
        <f t="shared" si="757"/>
        <v>8.3662889881066973E-5</v>
      </c>
      <c r="X663" s="220">
        <f t="shared" si="755"/>
        <v>35.810306616837522</v>
      </c>
      <c r="Z663" s="199">
        <f t="shared" si="758"/>
        <v>501.28400633639995</v>
      </c>
      <c r="AA663" s="237">
        <v>5.3</v>
      </c>
      <c r="AB663" s="214">
        <v>94.581887987999991</v>
      </c>
      <c r="AC663" s="217" t="s">
        <v>222</v>
      </c>
      <c r="AJ663" s="68"/>
      <c r="AQ663" s="282"/>
    </row>
    <row r="664" spans="1:43">
      <c r="A664" s="10" t="s">
        <v>21</v>
      </c>
      <c r="J664" s="197">
        <f t="shared" si="756"/>
        <v>0</v>
      </c>
      <c r="K664" s="197">
        <f t="shared" si="756"/>
        <v>297014.07108199998</v>
      </c>
      <c r="L664" s="197">
        <f t="shared" si="756"/>
        <v>0</v>
      </c>
      <c r="M664" s="197">
        <f t="shared" si="756"/>
        <v>29.673999999999999</v>
      </c>
      <c r="N664" s="197">
        <f t="shared" si="756"/>
        <v>16449.2664</v>
      </c>
      <c r="O664" s="197">
        <f t="shared" si="756"/>
        <v>96.620999999999981</v>
      </c>
      <c r="P664" s="212">
        <f t="shared" si="753"/>
        <v>313589.63248199999</v>
      </c>
      <c r="Q664" s="202"/>
      <c r="R664" s="211">
        <f t="shared" si="757"/>
        <v>0</v>
      </c>
      <c r="S664" s="211">
        <f t="shared" si="757"/>
        <v>17.267917226017943</v>
      </c>
      <c r="T664" s="211">
        <f t="shared" si="757"/>
        <v>0</v>
      </c>
      <c r="U664" s="211">
        <f t="shared" si="757"/>
        <v>2.0645747571492049E-3</v>
      </c>
      <c r="V664" s="211">
        <f t="shared" si="757"/>
        <v>0.67815617966201747</v>
      </c>
      <c r="W664" s="211">
        <f t="shared" si="757"/>
        <v>1.0409220020086239E-4</v>
      </c>
      <c r="X664" s="220">
        <f t="shared" si="755"/>
        <v>17.94824207263731</v>
      </c>
      <c r="Z664" s="199">
        <f t="shared" si="758"/>
        <v>4168.3808066455567</v>
      </c>
      <c r="AA664" s="237">
        <v>88</v>
      </c>
      <c r="AB664" s="214">
        <v>47.367963711881323</v>
      </c>
      <c r="AC664" s="217" t="s">
        <v>223</v>
      </c>
      <c r="AJ664" s="68" t="s">
        <v>289</v>
      </c>
    </row>
    <row r="665" spans="1:43">
      <c r="A665" s="10" t="s">
        <v>23</v>
      </c>
      <c r="J665" s="197">
        <f t="shared" si="756"/>
        <v>0</v>
      </c>
      <c r="K665" s="197">
        <f t="shared" si="756"/>
        <v>0</v>
      </c>
      <c r="L665" s="197">
        <f t="shared" si="756"/>
        <v>0</v>
      </c>
      <c r="M665" s="197">
        <f t="shared" si="756"/>
        <v>0</v>
      </c>
      <c r="N665" s="197">
        <f t="shared" si="756"/>
        <v>0</v>
      </c>
      <c r="O665" s="197">
        <f t="shared" si="756"/>
        <v>0</v>
      </c>
      <c r="P665" s="212">
        <f t="shared" si="753"/>
        <v>0</v>
      </c>
      <c r="Q665" s="202"/>
      <c r="R665" s="211">
        <f t="shared" si="757"/>
        <v>0</v>
      </c>
      <c r="S665" s="211">
        <f t="shared" si="757"/>
        <v>0</v>
      </c>
      <c r="T665" s="211">
        <f t="shared" si="757"/>
        <v>0</v>
      </c>
      <c r="U665" s="211">
        <f t="shared" si="757"/>
        <v>0</v>
      </c>
      <c r="V665" s="211">
        <f t="shared" si="757"/>
        <v>0</v>
      </c>
      <c r="W665" s="211">
        <f t="shared" si="757"/>
        <v>0</v>
      </c>
      <c r="X665" s="220">
        <f t="shared" si="755"/>
        <v>0</v>
      </c>
      <c r="Z665" s="199">
        <f t="shared" si="758"/>
        <v>96299.16718519578</v>
      </c>
      <c r="AA665" s="237">
        <v>1098.5999999999999</v>
      </c>
      <c r="AB665" s="211">
        <v>87.656259953755495</v>
      </c>
      <c r="AC665" s="217" t="s">
        <v>236</v>
      </c>
    </row>
    <row r="666" spans="1:43">
      <c r="A666" s="11" t="s">
        <v>24</v>
      </c>
      <c r="J666" s="209">
        <f t="shared" ref="J666:O666" si="759">SUM(J667:J671)</f>
        <v>615.87959999999998</v>
      </c>
      <c r="K666" s="209">
        <f t="shared" si="759"/>
        <v>496618.91925600002</v>
      </c>
      <c r="L666" s="209">
        <f t="shared" si="759"/>
        <v>23936.667099999999</v>
      </c>
      <c r="M666" s="209">
        <f t="shared" si="759"/>
        <v>13830.0795</v>
      </c>
      <c r="N666" s="209">
        <f t="shared" si="759"/>
        <v>108990.56650000002</v>
      </c>
      <c r="O666" s="209">
        <f t="shared" si="759"/>
        <v>36596.349599999994</v>
      </c>
      <c r="P666" s="212">
        <f t="shared" si="753"/>
        <v>680588.46155600005</v>
      </c>
      <c r="Q666" s="202"/>
      <c r="R666" s="209">
        <f t="shared" ref="R666:W666" si="760">SUM(R667:R671)</f>
        <v>5.8568033406197824E-2</v>
      </c>
      <c r="S666" s="209">
        <f t="shared" si="760"/>
        <v>28.872619937994596</v>
      </c>
      <c r="T666" s="209">
        <f t="shared" si="760"/>
        <v>4.5434181729303695</v>
      </c>
      <c r="U666" s="209">
        <f t="shared" si="760"/>
        <v>0.96223067416144414</v>
      </c>
      <c r="V666" s="209">
        <f t="shared" si="760"/>
        <v>4.4933691509087037</v>
      </c>
      <c r="W666" s="209">
        <f t="shared" si="760"/>
        <v>3.942615527870702E-2</v>
      </c>
      <c r="X666" s="220">
        <f t="shared" si="755"/>
        <v>38.969632124680018</v>
      </c>
      <c r="Z666" s="199">
        <f t="shared" si="758"/>
        <v>0</v>
      </c>
      <c r="AA666" s="237">
        <v>138.6</v>
      </c>
      <c r="AB666">
        <v>0</v>
      </c>
      <c r="AC666" s="216" t="s">
        <v>224</v>
      </c>
      <c r="AJ666" s="11" t="s">
        <v>24</v>
      </c>
      <c r="AK666" s="286">
        <f t="shared" ref="AK666:AK671" si="761">IFERROR(((J649/11.63)+J683)/J689,"")</f>
        <v>0.87302996027330704</v>
      </c>
      <c r="AL666" s="286">
        <f t="shared" ref="AL666:AQ671" si="762">IFERROR(((K649/11.63)+K683)/K689,"")</f>
        <v>0.66083188389927594</v>
      </c>
      <c r="AM666" s="286">
        <f t="shared" si="762"/>
        <v>0.51675267523434143</v>
      </c>
      <c r="AN666" s="286">
        <f t="shared" si="762"/>
        <v>0.77481900816686866</v>
      </c>
      <c r="AO666" s="286">
        <f t="shared" si="762"/>
        <v>0.58877864554212644</v>
      </c>
      <c r="AP666" s="286">
        <f t="shared" si="762"/>
        <v>0.58049400495077441</v>
      </c>
      <c r="AQ666" s="286">
        <f>IFERROR(((P649/11.63)+P683)/P689,"")</f>
        <v>0.64466742449574543</v>
      </c>
    </row>
    <row r="667" spans="1:43">
      <c r="A667" s="10" t="s">
        <v>25</v>
      </c>
      <c r="J667" s="197">
        <f t="shared" ref="J667:O671" si="763">IFERROR(J650*R650,"")</f>
        <v>0</v>
      </c>
      <c r="K667" s="197">
        <f t="shared" si="763"/>
        <v>45452.29</v>
      </c>
      <c r="L667" s="197">
        <f t="shared" si="763"/>
        <v>1004.9155999999999</v>
      </c>
      <c r="M667" s="197">
        <f t="shared" si="763"/>
        <v>195.13279999999997</v>
      </c>
      <c r="N667" s="197">
        <f t="shared" si="763"/>
        <v>13254.913799999998</v>
      </c>
      <c r="O667" s="197">
        <f t="shared" si="763"/>
        <v>36324.982799999998</v>
      </c>
      <c r="P667" s="212">
        <f t="shared" si="753"/>
        <v>96232.235000000001</v>
      </c>
      <c r="Q667" s="202"/>
      <c r="R667" s="211">
        <f t="shared" ref="R667:W671" si="764">J667*J$675/1000000</f>
        <v>0</v>
      </c>
      <c r="S667" s="211">
        <f t="shared" si="764"/>
        <v>2.6425225532034688</v>
      </c>
      <c r="T667" s="211">
        <f t="shared" si="764"/>
        <v>0.19074300445533729</v>
      </c>
      <c r="U667" s="211">
        <f t="shared" si="764"/>
        <v>1.3576405377496943E-2</v>
      </c>
      <c r="V667" s="211">
        <f t="shared" si="764"/>
        <v>0.54646216346507426</v>
      </c>
      <c r="W667" s="211">
        <f t="shared" si="764"/>
        <v>3.9133805093204202E-2</v>
      </c>
      <c r="X667" s="220">
        <f t="shared" si="755"/>
        <v>3.4324379315945817</v>
      </c>
      <c r="Z667" s="199">
        <f t="shared" si="758"/>
        <v>0</v>
      </c>
      <c r="AA667" s="237">
        <v>715.6</v>
      </c>
      <c r="AB667">
        <v>0</v>
      </c>
      <c r="AC667" s="216" t="s">
        <v>225</v>
      </c>
      <c r="AJ667" s="10" t="s">
        <v>25</v>
      </c>
      <c r="AK667" s="56" t="str">
        <f t="shared" si="761"/>
        <v/>
      </c>
      <c r="AL667" s="56">
        <f t="shared" si="762"/>
        <v>0.73746314815561276</v>
      </c>
      <c r="AM667" s="56">
        <f t="shared" si="762"/>
        <v>0.56810736092819736</v>
      </c>
      <c r="AN667" s="56">
        <f t="shared" si="762"/>
        <v>0.63827386070507308</v>
      </c>
      <c r="AO667" s="56">
        <f t="shared" si="762"/>
        <v>0.66622327711449958</v>
      </c>
      <c r="AP667" s="56">
        <f t="shared" si="762"/>
        <v>0.58040115688267013</v>
      </c>
      <c r="AQ667" s="286">
        <f t="shared" si="762"/>
        <v>0.67365580131595615</v>
      </c>
    </row>
    <row r="668" spans="1:43">
      <c r="A668" s="10" t="s">
        <v>26</v>
      </c>
      <c r="J668" s="197">
        <f t="shared" si="763"/>
        <v>0</v>
      </c>
      <c r="K668" s="197">
        <f t="shared" si="763"/>
        <v>26968.096800000003</v>
      </c>
      <c r="L668" s="197">
        <f t="shared" si="763"/>
        <v>0.48730000000000007</v>
      </c>
      <c r="M668" s="197">
        <f t="shared" si="763"/>
        <v>2052.4547000000002</v>
      </c>
      <c r="N668" s="197">
        <f t="shared" si="763"/>
        <v>113.672</v>
      </c>
      <c r="O668" s="197">
        <f t="shared" si="763"/>
        <v>34.378499999999995</v>
      </c>
      <c r="P668" s="212">
        <f t="shared" si="753"/>
        <v>29169.0893</v>
      </c>
      <c r="Q668" s="202"/>
      <c r="R668" s="211">
        <f t="shared" si="764"/>
        <v>0</v>
      </c>
      <c r="S668" s="211">
        <f t="shared" si="764"/>
        <v>1.567881486520796</v>
      </c>
      <c r="T668" s="211">
        <f t="shared" si="764"/>
        <v>9.2494400595518562E-5</v>
      </c>
      <c r="U668" s="211">
        <f t="shared" si="764"/>
        <v>0.14279996508095452</v>
      </c>
      <c r="V668" s="211">
        <f t="shared" si="764"/>
        <v>4.6863712569297829E-3</v>
      </c>
      <c r="W668" s="211">
        <f t="shared" si="764"/>
        <v>3.7036810885887621E-5</v>
      </c>
      <c r="X668" s="220">
        <f t="shared" si="755"/>
        <v>1.7154973540701619</v>
      </c>
      <c r="Z668" s="199">
        <f t="shared" si="758"/>
        <v>0</v>
      </c>
      <c r="AA668" s="237">
        <v>0.3</v>
      </c>
      <c r="AB668">
        <v>0</v>
      </c>
      <c r="AC668" s="216" t="s">
        <v>148</v>
      </c>
      <c r="AJ668" s="10" t="s">
        <v>26</v>
      </c>
      <c r="AK668" s="56" t="str">
        <f t="shared" si="761"/>
        <v/>
      </c>
      <c r="AL668" s="56">
        <f t="shared" si="762"/>
        <v>0.73818018568805077</v>
      </c>
      <c r="AM668" s="56" t="str">
        <f t="shared" si="762"/>
        <v/>
      </c>
      <c r="AN668" s="56">
        <f t="shared" si="762"/>
        <v>0.82452386343531836</v>
      </c>
      <c r="AO668" s="56">
        <f t="shared" si="762"/>
        <v>0.7216827800264245</v>
      </c>
      <c r="AP668" s="56">
        <f t="shared" si="762"/>
        <v>0.57887426417091081</v>
      </c>
      <c r="AQ668" s="286">
        <f t="shared" si="762"/>
        <v>0.74548154801674538</v>
      </c>
    </row>
    <row r="669" spans="1:43">
      <c r="A669" s="10" t="s">
        <v>27</v>
      </c>
      <c r="J669" s="197">
        <f t="shared" si="763"/>
        <v>559.61079999999993</v>
      </c>
      <c r="K669" s="197">
        <f t="shared" si="763"/>
        <v>414629.54585599998</v>
      </c>
      <c r="L669" s="197">
        <f t="shared" si="763"/>
        <v>11351.2256</v>
      </c>
      <c r="M669" s="197">
        <f t="shared" si="763"/>
        <v>9797.2425000000003</v>
      </c>
      <c r="N669" s="197">
        <f t="shared" si="763"/>
        <v>47436.175900000002</v>
      </c>
      <c r="O669" s="197">
        <f t="shared" si="763"/>
        <v>201.58950000000002</v>
      </c>
      <c r="P669" s="212">
        <f t="shared" si="753"/>
        <v>483975.39015600004</v>
      </c>
      <c r="Q669" s="202"/>
      <c r="R669" s="211">
        <f t="shared" si="764"/>
        <v>5.3217063901563048E-2</v>
      </c>
      <c r="S669" s="211">
        <f t="shared" si="764"/>
        <v>24.105890509564901</v>
      </c>
      <c r="T669" s="211">
        <f t="shared" si="764"/>
        <v>2.1545758421844972</v>
      </c>
      <c r="U669" s="211">
        <f t="shared" si="764"/>
        <v>0.68164519630549869</v>
      </c>
      <c r="V669" s="211">
        <f t="shared" si="764"/>
        <v>1.9556577809524358</v>
      </c>
      <c r="W669" s="211">
        <f t="shared" si="764"/>
        <v>2.1717736923020621E-4</v>
      </c>
      <c r="X669" s="220">
        <f t="shared" si="755"/>
        <v>28.951203570278125</v>
      </c>
      <c r="Z669" s="199">
        <f t="shared" si="758"/>
        <v>0</v>
      </c>
      <c r="AA669" s="237">
        <v>2</v>
      </c>
      <c r="AB669">
        <v>0</v>
      </c>
      <c r="AC669" s="216" t="s">
        <v>142</v>
      </c>
      <c r="AJ669" s="10" t="s">
        <v>27</v>
      </c>
      <c r="AK669" s="56">
        <f t="shared" si="761"/>
        <v>0.88017970293683512</v>
      </c>
      <c r="AL669" s="56">
        <f t="shared" si="762"/>
        <v>0.63825801662794479</v>
      </c>
      <c r="AM669" s="56">
        <f t="shared" si="762"/>
        <v>0.56511401797555383</v>
      </c>
      <c r="AN669" s="56">
        <f t="shared" si="762"/>
        <v>0.73885352715285879</v>
      </c>
      <c r="AO669" s="56">
        <f t="shared" si="762"/>
        <v>0.61762590449610733</v>
      </c>
      <c r="AP669" s="56">
        <f t="shared" si="762"/>
        <v>0.56530046813795742</v>
      </c>
      <c r="AQ669" s="286">
        <f t="shared" si="762"/>
        <v>0.63880654488871969</v>
      </c>
    </row>
    <row r="670" spans="1:43">
      <c r="A670" s="10" t="s">
        <v>28</v>
      </c>
      <c r="J670" s="197">
        <f t="shared" si="763"/>
        <v>56.268799999999999</v>
      </c>
      <c r="K670" s="197">
        <f t="shared" si="763"/>
        <v>3696.1457999999998</v>
      </c>
      <c r="L670" s="197">
        <f t="shared" si="763"/>
        <v>0</v>
      </c>
      <c r="M670" s="197">
        <f t="shared" si="763"/>
        <v>579.68299999999999</v>
      </c>
      <c r="N670" s="197">
        <f t="shared" si="763"/>
        <v>3822.4367999999999</v>
      </c>
      <c r="O670" s="197">
        <f t="shared" si="763"/>
        <v>0.49780000000000002</v>
      </c>
      <c r="P670" s="212">
        <f t="shared" si="753"/>
        <v>8155.0321999999987</v>
      </c>
      <c r="Q670" s="202"/>
      <c r="R670" s="211">
        <f t="shared" si="764"/>
        <v>5.3509695046347772E-3</v>
      </c>
      <c r="S670" s="211">
        <f t="shared" si="764"/>
        <v>0.21488793274064466</v>
      </c>
      <c r="T670" s="211">
        <f t="shared" si="764"/>
        <v>0</v>
      </c>
      <c r="U670" s="211">
        <f t="shared" si="764"/>
        <v>4.0331565981954656E-2</v>
      </c>
      <c r="V670" s="211">
        <f t="shared" si="764"/>
        <v>0.15758813033069408</v>
      </c>
      <c r="W670" s="211">
        <f t="shared" si="764"/>
        <v>5.3629228904678389E-7</v>
      </c>
      <c r="X670" s="220">
        <f t="shared" si="755"/>
        <v>0.41815913485021722</v>
      </c>
      <c r="Z670" s="199">
        <f t="shared" si="758"/>
        <v>0</v>
      </c>
      <c r="AA670" s="237">
        <v>0</v>
      </c>
      <c r="AB670">
        <v>0</v>
      </c>
      <c r="AC670" s="216" t="s">
        <v>145</v>
      </c>
      <c r="AJ670" s="10" t="s">
        <v>28</v>
      </c>
      <c r="AK670" s="56">
        <f t="shared" si="761"/>
        <v>0.83613459011340241</v>
      </c>
      <c r="AL670" s="56">
        <f t="shared" si="762"/>
        <v>0.85203644557407443</v>
      </c>
      <c r="AM670" s="56" t="str">
        <f t="shared" si="762"/>
        <v/>
      </c>
      <c r="AN670" s="56">
        <f t="shared" si="762"/>
        <v>0.87345500130614218</v>
      </c>
      <c r="AO670" s="56">
        <f t="shared" si="762"/>
        <v>0.77450887084599573</v>
      </c>
      <c r="AP670" s="56">
        <f>IFERROR(((O653/11.63)+O687)/O693,"")</f>
        <v>0.6859845227858985</v>
      </c>
      <c r="AQ670" s="286">
        <f t="shared" si="762"/>
        <v>0.83073109585372651</v>
      </c>
    </row>
    <row r="671" spans="1:43">
      <c r="A671" s="10" t="s">
        <v>29</v>
      </c>
      <c r="J671" s="197">
        <f t="shared" si="763"/>
        <v>0</v>
      </c>
      <c r="K671" s="197">
        <f t="shared" si="763"/>
        <v>5872.840799999999</v>
      </c>
      <c r="L671" s="197">
        <f t="shared" si="763"/>
        <v>11580.038599999998</v>
      </c>
      <c r="M671" s="197">
        <f t="shared" si="763"/>
        <v>1205.5664999999999</v>
      </c>
      <c r="N671" s="197">
        <f t="shared" si="763"/>
        <v>44363.368000000002</v>
      </c>
      <c r="O671" s="197">
        <f t="shared" si="763"/>
        <v>34.901000000000003</v>
      </c>
      <c r="P671" s="212">
        <f t="shared" si="753"/>
        <v>63056.714899999999</v>
      </c>
      <c r="Q671" s="202"/>
      <c r="R671" s="211">
        <f t="shared" si="764"/>
        <v>0</v>
      </c>
      <c r="S671" s="211">
        <f>K671*K$675/1000000</f>
        <v>0.34143745596478192</v>
      </c>
      <c r="T671" s="211">
        <f t="shared" si="764"/>
        <v>2.1980068318899395</v>
      </c>
      <c r="U671" s="211">
        <f t="shared" si="764"/>
        <v>8.3877541415539422E-2</v>
      </c>
      <c r="V671" s="211">
        <f t="shared" si="764"/>
        <v>1.8289747049035694</v>
      </c>
      <c r="W671" s="211">
        <f t="shared" si="764"/>
        <v>3.7599713097673376E-5</v>
      </c>
      <c r="X671" s="220">
        <f t="shared" si="755"/>
        <v>4.4523341338869278</v>
      </c>
      <c r="Z671" s="199">
        <f t="shared" si="758"/>
        <v>0</v>
      </c>
      <c r="AA671" s="237">
        <v>13</v>
      </c>
      <c r="AB671">
        <v>0</v>
      </c>
      <c r="AC671" s="216" t="s">
        <v>143</v>
      </c>
      <c r="AJ671" s="10" t="s">
        <v>29</v>
      </c>
      <c r="AK671" s="56" t="str">
        <f t="shared" si="761"/>
        <v/>
      </c>
      <c r="AL671" s="56">
        <f>IFERROR(((K654/11.63)+K688)/K694,"")</f>
        <v>0.5859611229388304</v>
      </c>
      <c r="AM671" s="56">
        <f t="shared" si="762"/>
        <v>0.45388855975786496</v>
      </c>
      <c r="AN671" s="56">
        <f t="shared" si="762"/>
        <v>0.79190312410432795</v>
      </c>
      <c r="AO671" s="56">
        <f t="shared" si="762"/>
        <v>0.51875220551346746</v>
      </c>
      <c r="AP671" s="56">
        <f t="shared" si="762"/>
        <v>0.68018283024845005</v>
      </c>
      <c r="AQ671" s="286">
        <f t="shared" si="762"/>
        <v>0.52962680280302576</v>
      </c>
    </row>
    <row r="672" spans="1:43">
      <c r="A672" s="11" t="s">
        <v>10</v>
      </c>
      <c r="J672" s="212">
        <f t="shared" ref="J672:P672" si="765">J660+J666</f>
        <v>335281.96927999996</v>
      </c>
      <c r="K672" s="212">
        <f t="shared" si="765"/>
        <v>803548.53373800009</v>
      </c>
      <c r="L672" s="212">
        <f t="shared" si="765"/>
        <v>24249.934600000001</v>
      </c>
      <c r="M672" s="212">
        <f t="shared" si="765"/>
        <v>33547.196100000001</v>
      </c>
      <c r="N672" s="212">
        <f t="shared" si="765"/>
        <v>200178.11820000003</v>
      </c>
      <c r="O672" s="212">
        <f t="shared" si="765"/>
        <v>67636.180799999987</v>
      </c>
      <c r="P672" s="212">
        <f t="shared" si="765"/>
        <v>1464441.9327179999</v>
      </c>
      <c r="Q672" s="202"/>
      <c r="R672" s="314">
        <f t="shared" ref="R672:X672" si="766">R660+R666</f>
        <v>31.884163036552653</v>
      </c>
      <c r="S672" s="314">
        <f t="shared" si="766"/>
        <v>46.717010803993446</v>
      </c>
      <c r="T672" s="229">
        <f t="shared" si="766"/>
        <v>4.6028794691309782</v>
      </c>
      <c r="U672" s="229">
        <f t="shared" si="766"/>
        <v>2.3340531859942799</v>
      </c>
      <c r="V672" s="229">
        <f t="shared" si="766"/>
        <v>8.2527709497393609</v>
      </c>
      <c r="W672" s="229">
        <f t="shared" si="766"/>
        <v>7.2866135443178257E-2</v>
      </c>
      <c r="X672" s="229">
        <f t="shared" si="766"/>
        <v>93.863743580853907</v>
      </c>
      <c r="Z672" s="199">
        <f t="shared" si="758"/>
        <v>0</v>
      </c>
      <c r="AA672" s="237">
        <v>1203.5999999999999</v>
      </c>
      <c r="AB672">
        <v>0</v>
      </c>
      <c r="AC672" s="216" t="s">
        <v>231</v>
      </c>
      <c r="AJ672" s="308" t="s">
        <v>290</v>
      </c>
      <c r="AK672" s="307">
        <f>IFERROR(((J655/11.63)+J683)/(J689+J660/41.868),"")</f>
        <v>0.38552442140619009</v>
      </c>
      <c r="AL672" s="307">
        <f t="shared" ref="AL672:AQ672" si="767">IFERROR(((K655/11.63)+K683)/(K689+K660/41.868),"")</f>
        <v>0.61820995445408622</v>
      </c>
      <c r="AM672" s="307">
        <f t="shared" si="767"/>
        <v>0.51557868203741675</v>
      </c>
      <c r="AN672" s="307">
        <f t="shared" si="767"/>
        <v>0.62348600559074885</v>
      </c>
      <c r="AO672" s="307">
        <f t="shared" si="767"/>
        <v>0.49034101547085313</v>
      </c>
      <c r="AP672" s="307">
        <f t="shared" si="767"/>
        <v>0.49423784620954292</v>
      </c>
      <c r="AQ672" s="307">
        <f t="shared" si="767"/>
        <v>0.54624484187613487</v>
      </c>
    </row>
    <row r="673" spans="1:43">
      <c r="E673" t="s">
        <v>200</v>
      </c>
      <c r="J673" s="198">
        <f t="shared" ref="J673:P673" si="768">J672/41.868</f>
        <v>8008.0722575714135</v>
      </c>
      <c r="K673" s="198">
        <f t="shared" si="768"/>
        <v>19192.42700243623</v>
      </c>
      <c r="L673" s="198">
        <f t="shared" si="768"/>
        <v>579.19973726951366</v>
      </c>
      <c r="M673" s="198">
        <f t="shared" si="768"/>
        <v>801.26101318429346</v>
      </c>
      <c r="N673" s="198">
        <f t="shared" si="768"/>
        <v>4781.1722126683871</v>
      </c>
      <c r="O673" s="198">
        <f t="shared" si="768"/>
        <v>1615.4624247635422</v>
      </c>
      <c r="P673" s="198">
        <f t="shared" si="768"/>
        <v>34977.594647893377</v>
      </c>
      <c r="R673" s="227">
        <v>31.884163036552653</v>
      </c>
      <c r="S673" s="227">
        <v>46.717010803993418</v>
      </c>
      <c r="T673" s="227">
        <v>4.5852635081309767</v>
      </c>
      <c r="U673" s="227">
        <v>2.3340531859942795</v>
      </c>
      <c r="V673" s="227">
        <v>8.2527705287958391</v>
      </c>
      <c r="W673" s="227">
        <v>7.2866135443178243E-2</v>
      </c>
      <c r="X673" s="227">
        <v>93.863743159910342</v>
      </c>
      <c r="Z673" s="199">
        <f t="shared" si="758"/>
        <v>10616.090093333331</v>
      </c>
      <c r="AA673" s="237">
        <v>217.3</v>
      </c>
      <c r="AB673" s="177">
        <v>48.854533333333322</v>
      </c>
      <c r="AC673" s="219" t="s">
        <v>144</v>
      </c>
    </row>
    <row r="674" spans="1:43">
      <c r="J674" s="213" t="s">
        <v>217</v>
      </c>
      <c r="K674">
        <f>K660/41.868+K689</f>
        <v>22902.387897248496</v>
      </c>
      <c r="T674" s="228">
        <v>1.7615960999999999E-2</v>
      </c>
      <c r="U674" s="228"/>
      <c r="Z674" s="199">
        <f t="shared" si="758"/>
        <v>0</v>
      </c>
      <c r="AA674" s="237">
        <v>12</v>
      </c>
      <c r="AB674">
        <v>0</v>
      </c>
      <c r="AC674" s="216" t="s">
        <v>146</v>
      </c>
    </row>
    <row r="675" spans="1:43">
      <c r="J675" s="198">
        <f>SUM(Z644:Z647)/SUM(AA644:AA647)+J676</f>
        <v>95.096563364329384</v>
      </c>
      <c r="K675" s="215">
        <f>57.6915975544525+K676</f>
        <v>58.138380996941379</v>
      </c>
      <c r="L675" s="177">
        <f>SUM(Z649:Z652)/SUM(AA649:AA652)+L676</f>
        <v>189.80997454446654</v>
      </c>
      <c r="M675" s="198">
        <f>SUM(Z654:Z660)/SUM(AA654:AA660)+M676</f>
        <v>69.575209178041547</v>
      </c>
      <c r="N675" s="198">
        <f>SUM(Z662:Z677)/SUM(AA662:AA677)+N676</f>
        <v>41.227138230433027</v>
      </c>
      <c r="O675" s="198">
        <f>SUM(Z679:Z688)/SUM(AA679:AA688)+O676</f>
        <v>1.0773248072454478</v>
      </c>
      <c r="P675" s="363">
        <f>P666/41.868</f>
        <v>16255.576133467088</v>
      </c>
      <c r="Z675" s="199">
        <f t="shared" si="758"/>
        <v>3975.4</v>
      </c>
      <c r="AA675" s="237">
        <v>27.8</v>
      </c>
      <c r="AB675">
        <v>143</v>
      </c>
      <c r="AC675" s="216" t="s">
        <v>147</v>
      </c>
    </row>
    <row r="676" spans="1:43">
      <c r="A676" s="504" t="s">
        <v>415</v>
      </c>
      <c r="B676" s="503"/>
      <c r="C676" s="503"/>
      <c r="D676" s="503"/>
      <c r="E676" s="503"/>
      <c r="F676" s="503"/>
      <c r="G676" s="503"/>
      <c r="H676" s="503"/>
      <c r="I676" s="503"/>
      <c r="J676" s="503">
        <v>-3.0061053441922447E-2</v>
      </c>
      <c r="K676" s="503">
        <v>0.44678344248887669</v>
      </c>
      <c r="L676" s="503">
        <v>8.6099563120667355E-5</v>
      </c>
      <c r="M676" s="503">
        <v>-4.4811664244855942E-3</v>
      </c>
      <c r="N676" s="503">
        <v>4.9832880512878441</v>
      </c>
      <c r="O676" s="503">
        <v>-9.693519725416877E-3</v>
      </c>
      <c r="P676" s="364">
        <f>P660/41.868</f>
        <v>18722.018514426287</v>
      </c>
      <c r="R676" s="506">
        <f>R672-R673</f>
        <v>0</v>
      </c>
      <c r="S676" s="506">
        <f>S672-S673</f>
        <v>0</v>
      </c>
      <c r="T676" s="506">
        <f>T672-SUM(T673:T674)</f>
        <v>0</v>
      </c>
      <c r="U676" s="506">
        <f>U672-U673</f>
        <v>0</v>
      </c>
      <c r="V676" s="556">
        <f>V672-V673</f>
        <v>4.2094352181720751E-7</v>
      </c>
      <c r="W676" s="506">
        <f>W672-W673</f>
        <v>0</v>
      </c>
      <c r="X676" s="202">
        <f>X672-X673</f>
        <v>4.2094356444977166E-7</v>
      </c>
      <c r="Z676" s="199">
        <f t="shared" si="758"/>
        <v>0</v>
      </c>
      <c r="AA676" s="237">
        <v>0</v>
      </c>
      <c r="AB676">
        <v>45.85</v>
      </c>
      <c r="AC676" s="216" t="s">
        <v>232</v>
      </c>
    </row>
    <row r="677" spans="1:43">
      <c r="K677" s="198"/>
      <c r="L677" s="198"/>
      <c r="N677" s="198"/>
      <c r="O677" s="198"/>
      <c r="P677" s="365">
        <f>P689-P675</f>
        <v>5908.6238665329092</v>
      </c>
      <c r="Z677" s="199">
        <f t="shared" si="758"/>
        <v>57725.15</v>
      </c>
      <c r="AA677" s="237">
        <v>1259</v>
      </c>
      <c r="AB677">
        <v>45.85</v>
      </c>
      <c r="AC677" s="216" t="s">
        <v>233</v>
      </c>
      <c r="AJ677" s="68" t="s">
        <v>381</v>
      </c>
      <c r="AK677" s="210" t="s">
        <v>5</v>
      </c>
      <c r="AL677" s="210" t="s">
        <v>210</v>
      </c>
      <c r="AM677" s="210" t="s">
        <v>211</v>
      </c>
      <c r="AN677" s="210" t="s">
        <v>214</v>
      </c>
      <c r="AO677" s="210" t="s">
        <v>216</v>
      </c>
      <c r="AP677" s="210" t="s">
        <v>215</v>
      </c>
      <c r="AQ677" s="210" t="s">
        <v>213</v>
      </c>
    </row>
    <row r="678" spans="1:43">
      <c r="J678" s="202"/>
      <c r="K678" s="202"/>
      <c r="L678" s="253"/>
      <c r="M678" s="330"/>
      <c r="N678" s="252"/>
      <c r="O678" s="367"/>
      <c r="AA678" s="209" t="s">
        <v>240</v>
      </c>
      <c r="AE678" s="198"/>
      <c r="AJ678" s="11" t="s">
        <v>24</v>
      </c>
      <c r="AK678" s="229">
        <f t="shared" ref="AK678:AK683" si="769">IFERROR(J683/(J689-J666/41.868),0)</f>
        <v>0.89148108531945225</v>
      </c>
      <c r="AL678" s="229">
        <f t="shared" ref="AL678:AL683" si="770">IFERROR(K683/(K689-K666/41.868),0)</f>
        <v>0.89265091840478261</v>
      </c>
      <c r="AM678" s="229">
        <f t="shared" ref="AM678:AM683" si="771">IFERROR(L683/(L689-L666/41.868),0)</f>
        <v>0.89976111669641956</v>
      </c>
      <c r="AN678" s="229">
        <f t="shared" ref="AN678:AN683" si="772">IFERROR(M683/(M689-M666/41.868),0)</f>
        <v>0.89981518081544587</v>
      </c>
      <c r="AO678" s="229">
        <f t="shared" ref="AO678:AO683" si="773">IFERROR(N683/(N689-N666/41.868),0)</f>
        <v>0.87922232950179957</v>
      </c>
      <c r="AP678" s="229">
        <f t="shared" ref="AP678:AP683" si="774">IFERROR(O683/(O689-O666/41.868),0)</f>
        <v>0.83715761472637273</v>
      </c>
      <c r="AQ678" s="229">
        <f t="shared" ref="AQ678:AQ683" si="775">IFERROR(P683/(P689-P666/41.868),0)</f>
        <v>0.88840652554182409</v>
      </c>
    </row>
    <row r="679" spans="1:43">
      <c r="J679" s="202"/>
      <c r="K679" s="198"/>
      <c r="M679" s="330"/>
      <c r="N679" s="330"/>
      <c r="O679" s="367"/>
      <c r="P679" s="198"/>
      <c r="Z679" s="199">
        <f>AA679*AB679</f>
        <v>1754.5287800000001</v>
      </c>
      <c r="AA679" s="237">
        <v>20.0747</v>
      </c>
      <c r="AB679" s="214">
        <v>87.4</v>
      </c>
      <c r="AC679" s="217" t="s">
        <v>221</v>
      </c>
      <c r="AJ679" s="10" t="s">
        <v>25</v>
      </c>
      <c r="AK679" s="428">
        <f t="shared" si="769"/>
        <v>0</v>
      </c>
      <c r="AL679" s="428">
        <f t="shared" si="770"/>
        <v>0.89596676894489269</v>
      </c>
      <c r="AM679" s="428">
        <f t="shared" si="771"/>
        <v>0.89497197852839749</v>
      </c>
      <c r="AN679" s="428">
        <f t="shared" si="772"/>
        <v>0.9198927802434409</v>
      </c>
      <c r="AO679" s="428">
        <f t="shared" si="773"/>
        <v>0.94296347180001117</v>
      </c>
      <c r="AP679" s="428">
        <f t="shared" si="774"/>
        <v>0.83651511972907333</v>
      </c>
      <c r="AQ679" s="428">
        <f t="shared" si="775"/>
        <v>0.89273325208352505</v>
      </c>
    </row>
    <row r="680" spans="1:43">
      <c r="A680" s="68" t="s">
        <v>413</v>
      </c>
      <c r="J680" s="314">
        <f>J683/(J689-J666/41.868)</f>
        <v>0.89148108531945225</v>
      </c>
      <c r="K680" s="314">
        <f t="shared" ref="K680:P680" si="776">K683/(K689-K666/41.868)</f>
        <v>0.89265091840478261</v>
      </c>
      <c r="L680" s="314">
        <f t="shared" si="776"/>
        <v>0.89976111669641956</v>
      </c>
      <c r="M680" s="314">
        <f t="shared" si="776"/>
        <v>0.89981518081544587</v>
      </c>
      <c r="N680" s="314">
        <f t="shared" si="776"/>
        <v>0.87922232950179957</v>
      </c>
      <c r="O680" s="314">
        <f t="shared" si="776"/>
        <v>0.83715761472637273</v>
      </c>
      <c r="P680" s="314">
        <f t="shared" si="776"/>
        <v>0.88840652554182409</v>
      </c>
      <c r="Z680" s="199">
        <f>AA680*AB680</f>
        <v>0</v>
      </c>
      <c r="AA680" s="237">
        <v>1014</v>
      </c>
      <c r="AB680">
        <v>0</v>
      </c>
      <c r="AC680" s="216" t="s">
        <v>226</v>
      </c>
      <c r="AJ680" s="10" t="s">
        <v>26</v>
      </c>
      <c r="AK680" s="428">
        <f t="shared" si="769"/>
        <v>0</v>
      </c>
      <c r="AL680" s="428">
        <f t="shared" si="770"/>
        <v>0.89747872611601132</v>
      </c>
      <c r="AM680" s="428">
        <f t="shared" si="771"/>
        <v>0</v>
      </c>
      <c r="AN680" s="428">
        <f t="shared" si="772"/>
        <v>0.90043189577492055</v>
      </c>
      <c r="AO680" s="428">
        <f t="shared" si="773"/>
        <v>0.8751153952002565</v>
      </c>
      <c r="AP680" s="428">
        <f t="shared" si="774"/>
        <v>0.83527598641389711</v>
      </c>
      <c r="AQ680" s="428">
        <f t="shared" si="775"/>
        <v>0.89757348816903937</v>
      </c>
    </row>
    <row r="681" spans="1:43">
      <c r="A681" s="68" t="s">
        <v>276</v>
      </c>
      <c r="J681" s="198"/>
      <c r="K681" s="198"/>
      <c r="P681" s="198"/>
      <c r="R681" s="221" t="s">
        <v>254</v>
      </c>
      <c r="S681" s="195"/>
      <c r="T681" s="195"/>
      <c r="U681" s="195"/>
      <c r="V681" s="195"/>
      <c r="W681" s="195"/>
      <c r="X681" s="195"/>
      <c r="Z681" s="199"/>
      <c r="AA681" s="237">
        <v>0</v>
      </c>
      <c r="AB681">
        <v>0</v>
      </c>
      <c r="AC681" s="216" t="s">
        <v>227</v>
      </c>
      <c r="AJ681" s="10" t="s">
        <v>27</v>
      </c>
      <c r="AK681" s="428">
        <f t="shared" si="769"/>
        <v>0.89998710250641289</v>
      </c>
      <c r="AL681" s="428">
        <f t="shared" si="770"/>
        <v>0.8894068826993734</v>
      </c>
      <c r="AM681" s="428">
        <f t="shared" si="771"/>
        <v>0.89977559360833603</v>
      </c>
      <c r="AN681" s="428">
        <f t="shared" si="772"/>
        <v>0.89989879021061103</v>
      </c>
      <c r="AO681" s="428">
        <f t="shared" si="773"/>
        <v>0.79314023283851109</v>
      </c>
      <c r="AP681" s="428">
        <f t="shared" si="774"/>
        <v>0.87535160641310794</v>
      </c>
      <c r="AQ681" s="428">
        <f t="shared" si="775"/>
        <v>0.8828524556210281</v>
      </c>
    </row>
    <row r="682" spans="1:43">
      <c r="A682" s="68" t="str">
        <f>$A$641</f>
        <v>Dati 2016 lorda</v>
      </c>
      <c r="J682" s="210" t="s">
        <v>5</v>
      </c>
      <c r="K682" s="210" t="s">
        <v>210</v>
      </c>
      <c r="L682" s="210" t="s">
        <v>211</v>
      </c>
      <c r="M682" s="210" t="s">
        <v>214</v>
      </c>
      <c r="N682" s="210" t="s">
        <v>216</v>
      </c>
      <c r="O682" s="210" t="s">
        <v>215</v>
      </c>
      <c r="P682" s="210" t="s">
        <v>213</v>
      </c>
      <c r="R682" s="221" t="s">
        <v>5</v>
      </c>
      <c r="S682" s="221" t="s">
        <v>210</v>
      </c>
      <c r="T682" s="221" t="s">
        <v>211</v>
      </c>
      <c r="U682" s="221" t="s">
        <v>214</v>
      </c>
      <c r="V682" s="221" t="s">
        <v>216</v>
      </c>
      <c r="W682" s="221" t="s">
        <v>215</v>
      </c>
      <c r="X682" s="221" t="s">
        <v>213</v>
      </c>
      <c r="Z682" s="199">
        <f>AA682*AB682</f>
        <v>0</v>
      </c>
      <c r="AA682" s="237">
        <v>215.5</v>
      </c>
      <c r="AB682">
        <v>0</v>
      </c>
      <c r="AC682" s="216" t="s">
        <v>150</v>
      </c>
      <c r="AJ682" s="10" t="s">
        <v>28</v>
      </c>
      <c r="AK682" s="428">
        <f t="shared" si="769"/>
        <v>0.85349648545152412</v>
      </c>
      <c r="AL682" s="428">
        <f t="shared" si="770"/>
        <v>0.89840466844226785</v>
      </c>
      <c r="AM682" s="428">
        <f t="shared" si="771"/>
        <v>0</v>
      </c>
      <c r="AN682" s="428">
        <f t="shared" si="772"/>
        <v>0.89849518744414014</v>
      </c>
      <c r="AO682" s="428">
        <f t="shared" si="773"/>
        <v>0.89600686116319972</v>
      </c>
      <c r="AP682" s="428">
        <f t="shared" si="774"/>
        <v>0.68096503117375973</v>
      </c>
      <c r="AQ682" s="428">
        <f t="shared" si="775"/>
        <v>0.89687260162171822</v>
      </c>
    </row>
    <row r="683" spans="1:43">
      <c r="A683" s="223" t="s">
        <v>275</v>
      </c>
      <c r="J683" s="209">
        <f t="shared" ref="J683:O683" si="777">SUM(J684:J688)</f>
        <v>45.1</v>
      </c>
      <c r="K683" s="209">
        <f t="shared" si="777"/>
        <v>3311.7</v>
      </c>
      <c r="L683" s="209">
        <f t="shared" si="777"/>
        <v>129.1</v>
      </c>
      <c r="M683" s="209">
        <f t="shared" si="777"/>
        <v>471.3</v>
      </c>
      <c r="N683" s="209">
        <f t="shared" si="777"/>
        <v>1094.9000000000001</v>
      </c>
      <c r="O683" s="209">
        <f t="shared" si="777"/>
        <v>197.16000000000003</v>
      </c>
      <c r="P683" s="298">
        <f t="shared" ref="P683:P694" si="778">SUM(J683:O683)</f>
        <v>5249.26</v>
      </c>
      <c r="Q683" s="223" t="s">
        <v>17</v>
      </c>
      <c r="R683" s="316">
        <f t="shared" ref="R683:R691" si="779">IFERROR(R660/J643*1000000,0)</f>
        <v>897.27411396779337</v>
      </c>
      <c r="S683" s="316">
        <f t="shared" ref="S683:S694" si="780">IFERROR(S660/K643*1000000,0)</f>
        <v>396.6407387171663</v>
      </c>
      <c r="T683" s="316">
        <f t="shared" ref="T683:T694" si="781">IFERROR(T660/L643*1000000,0)</f>
        <v>1694.0540228093639</v>
      </c>
      <c r="U683" s="316">
        <f t="shared" ref="U683:U694" si="782">IFERROR(U660/M643*1000000,0)</f>
        <v>717.63052512703268</v>
      </c>
      <c r="V683" s="316">
        <f t="shared" ref="V683:V694" si="783">IFERROR(V660/N643*1000000,0)</f>
        <v>469.08087927114417</v>
      </c>
      <c r="W683" s="316">
        <f t="shared" ref="W683:W694" si="784">IFERROR(W660/O643*1000000,0)</f>
        <v>10.621599010409184</v>
      </c>
      <c r="X683" s="316">
        <f t="shared" ref="X683:X694" si="785">IFERROR(X660/P643*1000000,0)</f>
        <v>586.67988483354134</v>
      </c>
      <c r="Z683" s="199">
        <f>AA683*AB683</f>
        <v>0</v>
      </c>
      <c r="AA683" s="237">
        <v>24</v>
      </c>
      <c r="AB683">
        <v>0</v>
      </c>
      <c r="AC683" s="216" t="s">
        <v>151</v>
      </c>
      <c r="AJ683" s="10" t="s">
        <v>29</v>
      </c>
      <c r="AK683" s="428">
        <f t="shared" si="769"/>
        <v>0</v>
      </c>
      <c r="AL683" s="428">
        <f t="shared" si="770"/>
        <v>0.90291852270199224</v>
      </c>
      <c r="AM683" s="428">
        <f t="shared" si="771"/>
        <v>0.90045371585616574</v>
      </c>
      <c r="AN683" s="428">
        <f t="shared" si="772"/>
        <v>0.90017622149330367</v>
      </c>
      <c r="AO683" s="428">
        <f t="shared" si="773"/>
        <v>0.88605808836928324</v>
      </c>
      <c r="AP683" s="428">
        <f t="shared" si="774"/>
        <v>0.93773097235722835</v>
      </c>
      <c r="AQ683" s="428">
        <f t="shared" si="775"/>
        <v>0.88959143891658998</v>
      </c>
    </row>
    <row r="684" spans="1:43">
      <c r="A684" s="216" t="s">
        <v>25</v>
      </c>
      <c r="K684">
        <v>573.5</v>
      </c>
      <c r="L684">
        <v>6.8</v>
      </c>
      <c r="M684">
        <v>1.6</v>
      </c>
      <c r="N684">
        <v>205.2</v>
      </c>
      <c r="O684">
        <v>194.4</v>
      </c>
      <c r="P684" s="298">
        <f t="shared" si="778"/>
        <v>981.49999999999989</v>
      </c>
      <c r="Q684" s="216" t="s">
        <v>18</v>
      </c>
      <c r="R684" s="317">
        <f t="shared" si="779"/>
        <v>0</v>
      </c>
      <c r="S684" s="317">
        <f t="shared" si="780"/>
        <v>577.43040006162187</v>
      </c>
      <c r="T684" s="317">
        <f t="shared" si="781"/>
        <v>1694.0540228093639</v>
      </c>
      <c r="U684" s="317">
        <f t="shared" si="782"/>
        <v>670.77459168549865</v>
      </c>
      <c r="V684" s="317">
        <f t="shared" si="783"/>
        <v>367.99343584484518</v>
      </c>
      <c r="W684" s="317">
        <f t="shared" si="784"/>
        <v>10.60734005213868</v>
      </c>
      <c r="X684" s="316">
        <f t="shared" si="785"/>
        <v>178.9586597766579</v>
      </c>
      <c r="Z684" s="199">
        <f>AA684*AB684</f>
        <v>0</v>
      </c>
      <c r="AA684" s="237">
        <v>4</v>
      </c>
      <c r="AB684">
        <v>0</v>
      </c>
      <c r="AC684" s="218" t="s">
        <v>153</v>
      </c>
    </row>
    <row r="685" spans="1:43">
      <c r="A685" s="216" t="s">
        <v>26</v>
      </c>
      <c r="K685">
        <v>519.79999999999995</v>
      </c>
      <c r="M685">
        <v>62.2</v>
      </c>
      <c r="N685">
        <v>4.8</v>
      </c>
      <c r="O685">
        <v>0.4</v>
      </c>
      <c r="P685" s="298">
        <f t="shared" si="778"/>
        <v>587.19999999999993</v>
      </c>
      <c r="Q685" s="216" t="s">
        <v>19</v>
      </c>
      <c r="R685" s="317">
        <f t="shared" si="779"/>
        <v>0</v>
      </c>
      <c r="S685" s="317">
        <f t="shared" si="780"/>
        <v>665.33563212899719</v>
      </c>
      <c r="T685" s="317">
        <f t="shared" si="781"/>
        <v>0</v>
      </c>
      <c r="U685" s="317">
        <f t="shared" si="782"/>
        <v>1053.507817373905</v>
      </c>
      <c r="V685" s="317">
        <f t="shared" si="783"/>
        <v>556.77250180199815</v>
      </c>
      <c r="W685" s="317">
        <f t="shared" si="784"/>
        <v>12.243796434344514</v>
      </c>
      <c r="X685" s="316">
        <f t="shared" si="785"/>
        <v>607.15788707406637</v>
      </c>
      <c r="Z685" s="199">
        <f>AA685*AB685</f>
        <v>0</v>
      </c>
      <c r="AA685" s="237">
        <v>77</v>
      </c>
      <c r="AB685">
        <v>0</v>
      </c>
      <c r="AC685" s="216" t="s">
        <v>228</v>
      </c>
    </row>
    <row r="686" spans="1:43">
      <c r="A686" s="216" t="s">
        <v>27</v>
      </c>
      <c r="J686">
        <v>37.200000000000003</v>
      </c>
      <c r="K686">
        <v>1936.9</v>
      </c>
      <c r="L686">
        <v>90.5</v>
      </c>
      <c r="M686">
        <v>241.8</v>
      </c>
      <c r="N686">
        <v>187.9</v>
      </c>
      <c r="O686">
        <v>1.3</v>
      </c>
      <c r="P686" s="298">
        <f t="shared" si="778"/>
        <v>2495.6000000000008</v>
      </c>
      <c r="Q686" s="216" t="s">
        <v>20</v>
      </c>
      <c r="R686" s="317">
        <f t="shared" si="779"/>
        <v>897.27411396779337</v>
      </c>
      <c r="S686" s="317">
        <f t="shared" si="780"/>
        <v>554.11690928184839</v>
      </c>
      <c r="T686" s="317">
        <f t="shared" si="781"/>
        <v>0</v>
      </c>
      <c r="U686" s="317">
        <f t="shared" si="782"/>
        <v>724.41707796176877</v>
      </c>
      <c r="V686" s="317">
        <f t="shared" si="783"/>
        <v>571.90286153256693</v>
      </c>
      <c r="W686" s="317">
        <f t="shared" si="784"/>
        <v>9.728243009426393</v>
      </c>
      <c r="X686" s="316">
        <f t="shared" si="785"/>
        <v>852.26920663811188</v>
      </c>
      <c r="Z686" s="199">
        <f>AA686*AB686</f>
        <v>0</v>
      </c>
      <c r="AA686" s="237">
        <v>9.5</v>
      </c>
      <c r="AB686">
        <v>0</v>
      </c>
      <c r="AC686" s="216" t="s">
        <v>152</v>
      </c>
    </row>
    <row r="687" spans="1:43">
      <c r="A687" s="216" t="s">
        <v>28</v>
      </c>
      <c r="J687">
        <v>7.9</v>
      </c>
      <c r="K687">
        <v>212.4</v>
      </c>
      <c r="M687">
        <v>89</v>
      </c>
      <c r="N687">
        <v>106</v>
      </c>
      <c r="O687" s="177">
        <v>0.06</v>
      </c>
      <c r="P687" s="298">
        <f t="shared" si="778"/>
        <v>415.36</v>
      </c>
      <c r="Q687" s="216" t="s">
        <v>21</v>
      </c>
      <c r="R687" s="317">
        <f t="shared" si="779"/>
        <v>0</v>
      </c>
      <c r="S687" s="317">
        <f t="shared" si="780"/>
        <v>392.17012347962816</v>
      </c>
      <c r="T687" s="317">
        <f t="shared" si="781"/>
        <v>0</v>
      </c>
      <c r="U687" s="317">
        <f t="shared" si="782"/>
        <v>557.99317760789313</v>
      </c>
      <c r="V687" s="317">
        <f t="shared" si="783"/>
        <v>312.83152489252581</v>
      </c>
      <c r="W687" s="317">
        <f t="shared" si="784"/>
        <v>9.728243009426393</v>
      </c>
      <c r="X687" s="316">
        <f t="shared" si="785"/>
        <v>388.37323992645747</v>
      </c>
      <c r="Z687" s="199"/>
      <c r="AA687" s="237">
        <v>0</v>
      </c>
      <c r="AB687">
        <v>0</v>
      </c>
      <c r="AC687" s="216" t="s">
        <v>229</v>
      </c>
    </row>
    <row r="688" spans="1:43">
      <c r="A688" s="216" t="s">
        <v>29</v>
      </c>
      <c r="K688">
        <v>69.099999999999994</v>
      </c>
      <c r="L688">
        <v>31.8</v>
      </c>
      <c r="M688">
        <v>76.7</v>
      </c>
      <c r="N688">
        <v>591</v>
      </c>
      <c r="O688">
        <v>1</v>
      </c>
      <c r="P688" s="298">
        <f t="shared" si="778"/>
        <v>769.6</v>
      </c>
      <c r="Q688" s="216" t="s">
        <v>23</v>
      </c>
      <c r="R688" s="317">
        <f t="shared" si="779"/>
        <v>0</v>
      </c>
      <c r="S688" s="317">
        <f t="shared" si="780"/>
        <v>0</v>
      </c>
      <c r="T688" s="317">
        <f t="shared" si="781"/>
        <v>0</v>
      </c>
      <c r="U688" s="317">
        <f t="shared" si="782"/>
        <v>0</v>
      </c>
      <c r="V688" s="317">
        <f t="shared" si="783"/>
        <v>0</v>
      </c>
      <c r="W688" s="317">
        <f t="shared" si="784"/>
        <v>0</v>
      </c>
      <c r="X688" s="316">
        <f t="shared" si="785"/>
        <v>0</v>
      </c>
      <c r="Z688" s="199">
        <f>AA688*AB688</f>
        <v>0</v>
      </c>
      <c r="AA688" s="237">
        <v>250</v>
      </c>
      <c r="AB688">
        <v>0</v>
      </c>
      <c r="AC688" s="216" t="s">
        <v>230</v>
      </c>
    </row>
    <row r="689" spans="1:24">
      <c r="A689" s="223" t="s">
        <v>277</v>
      </c>
      <c r="J689" s="209">
        <f t="shared" ref="J689:O689" si="786">SUM(J690:J694)</f>
        <v>65.3</v>
      </c>
      <c r="K689" s="209">
        <f t="shared" si="786"/>
        <v>15571.5</v>
      </c>
      <c r="L689" s="209">
        <f t="shared" si="786"/>
        <v>715.2</v>
      </c>
      <c r="M689" s="209">
        <f t="shared" si="786"/>
        <v>854.1</v>
      </c>
      <c r="N689" s="209">
        <f t="shared" si="786"/>
        <v>3848.5</v>
      </c>
      <c r="O689" s="209">
        <f t="shared" si="786"/>
        <v>1109.5999999999999</v>
      </c>
      <c r="P689" s="298">
        <f t="shared" si="778"/>
        <v>22164.199999999997</v>
      </c>
      <c r="Q689" s="223" t="s">
        <v>24</v>
      </c>
      <c r="R689" s="316">
        <f t="shared" si="779"/>
        <v>422.87388740937058</v>
      </c>
      <c r="S689" s="316">
        <f t="shared" si="780"/>
        <v>355.75245151195975</v>
      </c>
      <c r="T689" s="316">
        <f t="shared" si="781"/>
        <v>1624.5059256759043</v>
      </c>
      <c r="U689" s="316">
        <f t="shared" si="782"/>
        <v>434.37643290061573</v>
      </c>
      <c r="V689" s="316">
        <f t="shared" si="783"/>
        <v>329.93627612426144</v>
      </c>
      <c r="W689" s="316">
        <f t="shared" si="784"/>
        <v>7.5847242797766521</v>
      </c>
      <c r="X689" s="316">
        <f>IFERROR(X666/P649*1000000,0)</f>
        <v>370.69169921161887</v>
      </c>
    </row>
    <row r="690" spans="1:24">
      <c r="A690" s="216" t="s">
        <v>25</v>
      </c>
      <c r="K690">
        <v>1725.7</v>
      </c>
      <c r="L690">
        <v>31.6</v>
      </c>
      <c r="M690">
        <v>6.4</v>
      </c>
      <c r="N690">
        <v>534.20000000000005</v>
      </c>
      <c r="O690">
        <v>1100</v>
      </c>
      <c r="P690" s="298">
        <f t="shared" si="778"/>
        <v>3397.9</v>
      </c>
      <c r="Q690" s="216" t="s">
        <v>25</v>
      </c>
      <c r="R690" s="317">
        <f t="shared" si="779"/>
        <v>0</v>
      </c>
      <c r="S690" s="317">
        <f t="shared" si="780"/>
        <v>324.99354977290233</v>
      </c>
      <c r="T690" s="317">
        <f t="shared" si="781"/>
        <v>1470.6476827705267</v>
      </c>
      <c r="U690" s="317">
        <f t="shared" si="782"/>
        <v>469.77181237013644</v>
      </c>
      <c r="V690" s="317">
        <f t="shared" si="783"/>
        <v>311.80084643676497</v>
      </c>
      <c r="W690" s="317">
        <f t="shared" si="784"/>
        <v>7.5779026941644787</v>
      </c>
      <c r="X690" s="316">
        <f t="shared" si="785"/>
        <v>225.72324360759819</v>
      </c>
    </row>
    <row r="691" spans="1:24">
      <c r="A691" s="216" t="s">
        <v>26</v>
      </c>
      <c r="K691">
        <v>1223.3</v>
      </c>
      <c r="M691">
        <v>118.1</v>
      </c>
      <c r="N691">
        <v>8.1999999999999993</v>
      </c>
      <c r="O691">
        <v>1.3</v>
      </c>
      <c r="P691" s="298">
        <f t="shared" si="778"/>
        <v>1350.8999999999999</v>
      </c>
      <c r="Q691" s="216" t="s">
        <v>26</v>
      </c>
      <c r="R691" s="317">
        <f t="shared" si="779"/>
        <v>0</v>
      </c>
      <c r="S691" s="317">
        <f t="shared" si="780"/>
        <v>351.79534341249234</v>
      </c>
      <c r="T691" s="317">
        <f t="shared" si="781"/>
        <v>924.94400595518562</v>
      </c>
      <c r="U691" s="317">
        <f t="shared" si="782"/>
        <v>349.05882444623444</v>
      </c>
      <c r="V691" s="317">
        <f t="shared" si="783"/>
        <v>360.49009668690638</v>
      </c>
      <c r="W691" s="317">
        <f t="shared" si="784"/>
        <v>9.0333685087530782</v>
      </c>
      <c r="X691" s="316">
        <f t="shared" si="785"/>
        <v>351.31317279395495</v>
      </c>
    </row>
    <row r="692" spans="1:24">
      <c r="A692" s="216" t="s">
        <v>27</v>
      </c>
      <c r="J692">
        <v>54.7</v>
      </c>
      <c r="K692">
        <v>12081</v>
      </c>
      <c r="L692">
        <v>371.7</v>
      </c>
      <c r="M692">
        <v>502.7</v>
      </c>
      <c r="N692">
        <v>1369.9</v>
      </c>
      <c r="O692">
        <v>6.3</v>
      </c>
      <c r="P692" s="298">
        <f t="shared" si="778"/>
        <v>14386.300000000001</v>
      </c>
      <c r="Q692" s="216" t="s">
        <v>27</v>
      </c>
      <c r="R692" s="317">
        <f>IFERROR(R669/J652*1000000,0)</f>
        <v>418.04449254959189</v>
      </c>
      <c r="S692" s="317">
        <f t="shared" si="780"/>
        <v>358.9835728389541</v>
      </c>
      <c r="T692" s="317">
        <f t="shared" si="781"/>
        <v>1549.6086321810249</v>
      </c>
      <c r="U692" s="317">
        <f t="shared" si="782"/>
        <v>452.16928444809201</v>
      </c>
      <c r="V692" s="317">
        <f t="shared" si="783"/>
        <v>255.48457561399348</v>
      </c>
      <c r="W692" s="317">
        <f t="shared" si="784"/>
        <v>8.257694647536356</v>
      </c>
      <c r="X692" s="316">
        <f t="shared" si="785"/>
        <v>371.85291382205401</v>
      </c>
    </row>
    <row r="693" spans="1:24">
      <c r="A693" s="216" t="s">
        <v>28</v>
      </c>
      <c r="J693">
        <v>10.6</v>
      </c>
      <c r="K693">
        <v>324.7</v>
      </c>
      <c r="M693">
        <v>112.9</v>
      </c>
      <c r="N693">
        <v>209.6</v>
      </c>
      <c r="O693">
        <v>0.1</v>
      </c>
      <c r="P693" s="298">
        <f t="shared" si="778"/>
        <v>657.90000000000009</v>
      </c>
      <c r="Q693" s="216" t="s">
        <v>28</v>
      </c>
      <c r="R693" s="317">
        <f>IFERROR(R670/J653*1000000,0)</f>
        <v>477.76513434239087</v>
      </c>
      <c r="S693" s="317">
        <f t="shared" si="780"/>
        <v>287.55243241087203</v>
      </c>
      <c r="T693" s="317">
        <f t="shared" si="781"/>
        <v>0</v>
      </c>
      <c r="U693" s="317">
        <f t="shared" si="782"/>
        <v>360.74745958814538</v>
      </c>
      <c r="V693" s="317">
        <f t="shared" si="783"/>
        <v>240.51912443634626</v>
      </c>
      <c r="W693" s="317">
        <f t="shared" si="784"/>
        <v>5.3629228904678392</v>
      </c>
      <c r="X693" s="316">
        <f t="shared" si="785"/>
        <v>274.09487077229761</v>
      </c>
    </row>
    <row r="694" spans="1:24">
      <c r="A694" s="216" t="s">
        <v>29</v>
      </c>
      <c r="K694">
        <v>216.8</v>
      </c>
      <c r="L694">
        <v>311.89999999999998</v>
      </c>
      <c r="M694">
        <v>114</v>
      </c>
      <c r="N694">
        <v>1726.6</v>
      </c>
      <c r="O694">
        <v>1.9</v>
      </c>
      <c r="P694" s="298">
        <f t="shared" si="778"/>
        <v>2371.2000000000003</v>
      </c>
      <c r="Q694" s="216" t="s">
        <v>29</v>
      </c>
      <c r="R694" s="317">
        <f>IFERROR(R671/J654*1000000,0)</f>
        <v>0</v>
      </c>
      <c r="S694" s="317">
        <f t="shared" si="780"/>
        <v>506.734128769341</v>
      </c>
      <c r="T694" s="317">
        <f t="shared" si="781"/>
        <v>1721.7662790928557</v>
      </c>
      <c r="U694" s="317">
        <f t="shared" si="782"/>
        <v>531.20672207434711</v>
      </c>
      <c r="V694" s="317">
        <f t="shared" si="783"/>
        <v>516.1637706450216</v>
      </c>
      <c r="W694" s="317">
        <f t="shared" si="784"/>
        <v>11.058739146374522</v>
      </c>
      <c r="X694" s="316">
        <f t="shared" si="785"/>
        <v>787.31306853759054</v>
      </c>
    </row>
    <row r="695" spans="1:24">
      <c r="Q695" s="223" t="s">
        <v>10</v>
      </c>
      <c r="R695" s="316">
        <f t="shared" ref="R695:X695" si="787">R672/J655*1000000</f>
        <v>895.42888298184539</v>
      </c>
      <c r="S695" s="316">
        <f t="shared" si="787"/>
        <v>370.33463685932207</v>
      </c>
      <c r="T695" s="316">
        <f t="shared" si="787"/>
        <v>1625.3679399452587</v>
      </c>
      <c r="U695" s="316">
        <f t="shared" si="787"/>
        <v>565.58427498165167</v>
      </c>
      <c r="V695" s="316">
        <f t="shared" si="787"/>
        <v>381.48460705206145</v>
      </c>
      <c r="W695" s="316">
        <f t="shared" si="787"/>
        <v>8.7302472255317571</v>
      </c>
      <c r="X695" s="225">
        <f t="shared" si="787"/>
        <v>472.40303733502992</v>
      </c>
    </row>
    <row r="696" spans="1:24">
      <c r="J696" s="90">
        <f>IFERROR((J649/11.63+J683)/J689,"")</f>
        <v>0.87302996027330704</v>
      </c>
      <c r="K696" s="90">
        <f t="shared" ref="J696:O701" si="788">IFERROR((K649/11.63+K683)/K689,"")</f>
        <v>0.66083188389927594</v>
      </c>
      <c r="L696" s="90">
        <f t="shared" si="788"/>
        <v>0.51675267523434143</v>
      </c>
      <c r="M696" s="90">
        <f t="shared" si="788"/>
        <v>0.77481900816686866</v>
      </c>
      <c r="N696" s="90">
        <f t="shared" si="788"/>
        <v>0.58877864554212644</v>
      </c>
      <c r="O696" s="90">
        <f t="shared" si="788"/>
        <v>0.58049400495077441</v>
      </c>
      <c r="P696" s="301">
        <f>P689-('5-x'!$V$82+'5-x'!$V$84)</f>
        <v>0</v>
      </c>
      <c r="R696" s="226">
        <f>'12'!AB6</f>
        <v>895.42888298184539</v>
      </c>
      <c r="S696" s="226">
        <f>'12'!AB7</f>
        <v>370.33463685932185</v>
      </c>
      <c r="T696" s="234"/>
      <c r="U696" s="234"/>
      <c r="V696" s="234"/>
      <c r="W696" s="234"/>
      <c r="X696" s="226">
        <f>'12'!AB11</f>
        <v>470.66104108873679</v>
      </c>
    </row>
    <row r="697" spans="1:24">
      <c r="J697" s="90" t="str">
        <f t="shared" si="788"/>
        <v/>
      </c>
      <c r="K697" s="90">
        <f t="shared" si="788"/>
        <v>0.73746314815561276</v>
      </c>
      <c r="L697" s="90">
        <f t="shared" si="788"/>
        <v>0.56810736092819736</v>
      </c>
      <c r="M697" s="90">
        <f t="shared" si="788"/>
        <v>0.63827386070507308</v>
      </c>
      <c r="N697" s="90">
        <f t="shared" si="788"/>
        <v>0.66622327711449958</v>
      </c>
      <c r="O697" s="90">
        <f t="shared" si="788"/>
        <v>0.58040115688267013</v>
      </c>
      <c r="P697" s="305">
        <f>(P666/41.868)-'5-x'!$V$82</f>
        <v>4.4550969705596799E-3</v>
      </c>
      <c r="R697" s="202">
        <f>R695-R696</f>
        <v>0</v>
      </c>
      <c r="S697" s="202">
        <f>S695-S696</f>
        <v>0</v>
      </c>
      <c r="T697" s="202"/>
      <c r="U697" s="202"/>
      <c r="V697" s="202"/>
      <c r="W697" s="202"/>
      <c r="X697" s="252">
        <f>X695-X696</f>
        <v>1.7419962462931267</v>
      </c>
    </row>
    <row r="698" spans="1:24">
      <c r="J698" s="90" t="str">
        <f t="shared" si="788"/>
        <v/>
      </c>
      <c r="K698" s="90">
        <f t="shared" si="788"/>
        <v>0.73818018568805077</v>
      </c>
      <c r="L698" s="90" t="str">
        <f t="shared" si="788"/>
        <v/>
      </c>
      <c r="M698" s="90">
        <f t="shared" si="788"/>
        <v>0.82452386343531836</v>
      </c>
      <c r="N698" s="90">
        <f t="shared" si="788"/>
        <v>0.7216827800264245</v>
      </c>
      <c r="O698" s="90">
        <f t="shared" si="788"/>
        <v>0.57887426417091081</v>
      </c>
      <c r="P698" s="305">
        <f>(P660/41.868)-'5-x'!$V$83</f>
        <v>-3.1720168190076947E-3</v>
      </c>
    </row>
    <row r="699" spans="1:24">
      <c r="J699" s="90">
        <f>IFERROR((J652/11.63+J686)/J692,"")</f>
        <v>0.88017970293683512</v>
      </c>
      <c r="K699" s="90">
        <f t="shared" si="788"/>
        <v>0.63825801662794479</v>
      </c>
      <c r="L699" s="90">
        <f t="shared" si="788"/>
        <v>0.56511401797555383</v>
      </c>
      <c r="M699" s="90">
        <f t="shared" si="788"/>
        <v>0.73885352715285879</v>
      </c>
      <c r="N699" s="90">
        <f t="shared" si="788"/>
        <v>0.61762590449610733</v>
      </c>
      <c r="O699" s="90">
        <f t="shared" si="788"/>
        <v>0.56530046813795742</v>
      </c>
    </row>
    <row r="700" spans="1:24">
      <c r="J700" s="90">
        <f t="shared" si="788"/>
        <v>0.83613459011340241</v>
      </c>
      <c r="K700" s="90">
        <f t="shared" si="788"/>
        <v>0.85203644557407443</v>
      </c>
      <c r="L700" s="90" t="str">
        <f t="shared" si="788"/>
        <v/>
      </c>
      <c r="M700" s="90">
        <f t="shared" si="788"/>
        <v>0.87345500130614218</v>
      </c>
      <c r="N700" s="90">
        <f t="shared" si="788"/>
        <v>0.77450887084599573</v>
      </c>
      <c r="O700" s="90">
        <f t="shared" si="788"/>
        <v>0.6859845227858985</v>
      </c>
    </row>
    <row r="701" spans="1:24">
      <c r="J701" s="90" t="str">
        <f t="shared" si="788"/>
        <v/>
      </c>
      <c r="K701" s="90">
        <f t="shared" si="788"/>
        <v>0.5859611229388304</v>
      </c>
      <c r="L701" s="90">
        <f t="shared" si="788"/>
        <v>0.45388855975786496</v>
      </c>
      <c r="M701" s="90">
        <f t="shared" si="788"/>
        <v>0.79190312410432795</v>
      </c>
      <c r="N701" s="90">
        <f t="shared" si="788"/>
        <v>0.51875220551346746</v>
      </c>
      <c r="O701" s="90">
        <f t="shared" si="788"/>
        <v>0.68018283024845005</v>
      </c>
    </row>
    <row r="702" spans="1:24">
      <c r="A702" s="68" t="str">
        <f>$A$641</f>
        <v>Dati 2016 lorda</v>
      </c>
    </row>
    <row r="703" spans="1:24">
      <c r="A703" s="68" t="s">
        <v>281</v>
      </c>
      <c r="B703" s="68"/>
      <c r="C703" s="68"/>
      <c r="D703" s="68"/>
      <c r="E703" s="68"/>
      <c r="J703" s="479">
        <v>0.20145516915328088</v>
      </c>
      <c r="K703" s="479">
        <v>9.0308989773193673</v>
      </c>
      <c r="L703" s="479">
        <v>1.1227149896692152</v>
      </c>
      <c r="M703" s="658">
        <v>1.3432339048293542</v>
      </c>
      <c r="N703" s="657">
        <v>1.9481993714957544</v>
      </c>
      <c r="O703" s="657">
        <v>7.3232296927817908E-4</v>
      </c>
      <c r="P703" s="323">
        <f>SUM(J703:O703)</f>
        <v>13.647234735436252</v>
      </c>
    </row>
    <row r="704" spans="1:24">
      <c r="A704" t="s">
        <v>282</v>
      </c>
      <c r="J704" s="211">
        <f t="shared" ref="J704:O704" si="789">J703/(J683*11.63)*1000000</f>
        <v>384.08041202654817</v>
      </c>
      <c r="K704" s="211">
        <f>K703/(K683*11.63)*1000000</f>
        <v>234.47701751138837</v>
      </c>
      <c r="L704" s="211">
        <f t="shared" si="789"/>
        <v>747.76229753123539</v>
      </c>
      <c r="M704" s="211">
        <f t="shared" si="789"/>
        <v>245.06116337065791</v>
      </c>
      <c r="N704" s="211">
        <f t="shared" si="789"/>
        <v>152.99570120545243</v>
      </c>
      <c r="O704" s="211">
        <f t="shared" si="789"/>
        <v>0.31937736375804654</v>
      </c>
      <c r="P704" s="211">
        <f>P703/(P683*11.63)*1000000</f>
        <v>223.54597906631111</v>
      </c>
    </row>
    <row r="706" spans="1:24">
      <c r="A706" s="68" t="s">
        <v>283</v>
      </c>
      <c r="J706" s="323">
        <f t="shared" ref="J706:P706" si="790">J703+R666</f>
        <v>0.26002320255947869</v>
      </c>
      <c r="K706" s="323">
        <f t="shared" si="790"/>
        <v>37.903518915313967</v>
      </c>
      <c r="L706" s="323">
        <f t="shared" si="790"/>
        <v>5.6661331625995848</v>
      </c>
      <c r="M706" s="323">
        <f t="shared" si="790"/>
        <v>2.3054645789907982</v>
      </c>
      <c r="N706" s="323">
        <f t="shared" si="790"/>
        <v>6.4415685224044577</v>
      </c>
      <c r="O706" s="323">
        <f t="shared" si="790"/>
        <v>4.0158478247985199E-2</v>
      </c>
      <c r="P706" s="323">
        <f t="shared" si="790"/>
        <v>52.616866860116268</v>
      </c>
    </row>
    <row r="707" spans="1:24">
      <c r="A707" t="s">
        <v>284</v>
      </c>
      <c r="J707" s="90">
        <f t="shared" ref="J707:P707" si="791">J706/((J683*11.63)+J649)*1000000</f>
        <v>392.18416917840023</v>
      </c>
      <c r="K707" s="90">
        <f t="shared" si="791"/>
        <v>316.72210681862674</v>
      </c>
      <c r="L707" s="90">
        <f t="shared" si="791"/>
        <v>1318.2470942360696</v>
      </c>
      <c r="M707" s="90">
        <f t="shared" si="791"/>
        <v>299.5502946228367</v>
      </c>
      <c r="N707" s="90">
        <f t="shared" si="791"/>
        <v>244.43780500200828</v>
      </c>
      <c r="O707" s="90">
        <f t="shared" si="791"/>
        <v>5.3608461754206349</v>
      </c>
      <c r="P707" s="90">
        <f t="shared" si="791"/>
        <v>316.63395323893189</v>
      </c>
    </row>
    <row r="708" spans="1:24">
      <c r="J708" s="198"/>
      <c r="K708" s="198"/>
      <c r="L708" s="198"/>
      <c r="M708" s="198"/>
      <c r="N708" s="198"/>
      <c r="O708" s="198"/>
      <c r="P708" s="198"/>
    </row>
    <row r="709" spans="1:24">
      <c r="A709" t="s">
        <v>285</v>
      </c>
      <c r="J709" s="298">
        <f>IFERROR((J$704*J683*11.63/1000000+R666)/(J683*11.63+J649)*1000000,"")</f>
        <v>392.18416917840028</v>
      </c>
      <c r="K709" s="298">
        <f t="shared" ref="K709:P709" si="792">IFERROR((K$704*K683*11.63/1000000+S666)/(K683*11.63+K649)*1000000,"")</f>
        <v>316.72210681862674</v>
      </c>
      <c r="L709" s="298">
        <f t="shared" si="792"/>
        <v>1318.2470942360696</v>
      </c>
      <c r="M709" s="298">
        <f t="shared" si="792"/>
        <v>299.5502946228367</v>
      </c>
      <c r="N709" s="298">
        <f t="shared" si="792"/>
        <v>244.43780500200828</v>
      </c>
      <c r="O709" s="298">
        <f t="shared" si="792"/>
        <v>5.3608461754206349</v>
      </c>
      <c r="P709" s="298">
        <f t="shared" si="792"/>
        <v>316.63395323893189</v>
      </c>
      <c r="R709" s="285">
        <f t="shared" ref="R709:R714" si="793">IFERROR(J709/R689-1,"")</f>
        <v>-7.2574162521557128E-2</v>
      </c>
      <c r="S709" s="285">
        <f t="shared" ref="S709:S714" si="794">IFERROR(K709/S689-1,"")</f>
        <v>-0.10971208919981501</v>
      </c>
      <c r="T709" s="285">
        <f t="shared" ref="T709:T714" si="795">IFERROR(L709/T689-1,"")</f>
        <v>-0.18852429320158393</v>
      </c>
      <c r="U709" s="285">
        <f t="shared" ref="U709:U714" si="796">IFERROR(M709/U689-1,"")</f>
        <v>-0.31039008580059613</v>
      </c>
      <c r="V709" s="285">
        <f t="shared" ref="V709:V714" si="797">IFERROR(N709/V689-1,"")</f>
        <v>-0.25913631603835074</v>
      </c>
      <c r="W709" s="285">
        <f t="shared" ref="W709:W714" si="798">IFERROR(O709/W689-1,"")</f>
        <v>-0.29320487104397475</v>
      </c>
      <c r="X709" s="285">
        <f t="shared" ref="X709:X714" si="799">IFERROR(P709/X689-1,"")</f>
        <v>-0.14582939431246</v>
      </c>
    </row>
    <row r="710" spans="1:24">
      <c r="A710" s="216" t="s">
        <v>25</v>
      </c>
      <c r="J710" s="211" t="str">
        <f t="shared" ref="J710:P710" si="800">IFERROR((J$704*J684*11.63/1000000+R667)/(J684*11.63+J650)*1000000,"")</f>
        <v/>
      </c>
      <c r="K710" s="211">
        <f t="shared" si="800"/>
        <v>284.20336170809725</v>
      </c>
      <c r="L710" s="211">
        <f t="shared" si="800"/>
        <v>1196.8303988490379</v>
      </c>
      <c r="M710" s="211">
        <f t="shared" si="800"/>
        <v>381.75683054429038</v>
      </c>
      <c r="N710" s="211">
        <f t="shared" si="800"/>
        <v>220.23822043737724</v>
      </c>
      <c r="O710" s="211">
        <f t="shared" si="800"/>
        <v>5.3677427548660246</v>
      </c>
      <c r="P710" s="211">
        <f t="shared" si="800"/>
        <v>224.78966077693838</v>
      </c>
      <c r="R710" s="284" t="str">
        <f t="shared" si="793"/>
        <v/>
      </c>
      <c r="S710" s="284">
        <f t="shared" si="794"/>
        <v>-0.12551076196222444</v>
      </c>
      <c r="T710" s="284">
        <f t="shared" si="795"/>
        <v>-0.18618822654087297</v>
      </c>
      <c r="U710" s="284">
        <f t="shared" si="796"/>
        <v>-0.1873568815927561</v>
      </c>
      <c r="V710" s="284">
        <f t="shared" si="797"/>
        <v>-0.2936574003751371</v>
      </c>
      <c r="W710" s="284">
        <f t="shared" si="798"/>
        <v>-0.29165852723345653</v>
      </c>
      <c r="X710" s="284">
        <f t="shared" si="799"/>
        <v>-4.1359623215532215E-3</v>
      </c>
    </row>
    <row r="711" spans="1:24">
      <c r="A711" s="216" t="s">
        <v>26</v>
      </c>
      <c r="J711" s="211" t="str">
        <f t="shared" ref="J711:P711" si="801">IFERROR((J$704*J685*11.63/1000000+R668)/(J685*11.63+J651)*1000000,"")</f>
        <v/>
      </c>
      <c r="K711" s="211">
        <f t="shared" si="801"/>
        <v>284.26378485620427</v>
      </c>
      <c r="L711" s="211">
        <f t="shared" si="801"/>
        <v>924.94400595518562</v>
      </c>
      <c r="M711" s="211">
        <f t="shared" si="801"/>
        <v>282.62934800695217</v>
      </c>
      <c r="N711" s="211">
        <f t="shared" si="801"/>
        <v>192.18881903148548</v>
      </c>
      <c r="O711" s="211">
        <f t="shared" si="801"/>
        <v>4.4015715701656832</v>
      </c>
      <c r="P711" s="211">
        <f t="shared" si="801"/>
        <v>276.81505456064519</v>
      </c>
      <c r="R711" s="284" t="str">
        <f t="shared" si="793"/>
        <v/>
      </c>
      <c r="S711" s="284">
        <f t="shared" si="794"/>
        <v>-0.19196262776311102</v>
      </c>
      <c r="T711" s="284">
        <f t="shared" si="795"/>
        <v>0</v>
      </c>
      <c r="U711" s="284">
        <f t="shared" si="796"/>
        <v>-0.19031026230226245</v>
      </c>
      <c r="V711" s="284">
        <f t="shared" si="797"/>
        <v>-0.46686796448001811</v>
      </c>
      <c r="W711" s="284">
        <f t="shared" si="798"/>
        <v>-0.51274305195224956</v>
      </c>
      <c r="X711" s="284">
        <f t="shared" si="799"/>
        <v>-0.21205614819630714</v>
      </c>
    </row>
    <row r="712" spans="1:24">
      <c r="A712" s="216" t="s">
        <v>27</v>
      </c>
      <c r="J712" s="211">
        <f t="shared" ref="J712:P712" si="802">IFERROR((J$704*J686*11.63/1000000+R669)/(J686*11.63+J652)*1000000,"")</f>
        <v>391.80205780496476</v>
      </c>
      <c r="K712" s="211">
        <f t="shared" si="802"/>
        <v>327.70836140856329</v>
      </c>
      <c r="L712" s="211">
        <f t="shared" si="802"/>
        <v>1204.1380386835338</v>
      </c>
      <c r="M712" s="211">
        <f t="shared" si="802"/>
        <v>317.33939169375941</v>
      </c>
      <c r="N712" s="211">
        <f t="shared" si="802"/>
        <v>232.7236911118373</v>
      </c>
      <c r="O712" s="211">
        <f t="shared" si="802"/>
        <v>5.3600047222980782</v>
      </c>
      <c r="P712" s="211">
        <f t="shared" si="802"/>
        <v>331.57954435577614</v>
      </c>
      <c r="R712" s="284">
        <f t="shared" si="793"/>
        <v>-6.2774262578077278E-2</v>
      </c>
      <c r="S712" s="284">
        <f t="shared" si="794"/>
        <v>-8.7121567104189945E-2</v>
      </c>
      <c r="T712" s="284">
        <f t="shared" si="795"/>
        <v>-0.22294054532417795</v>
      </c>
      <c r="U712" s="284">
        <f t="shared" si="796"/>
        <v>-0.29818454590276522</v>
      </c>
      <c r="V712" s="284">
        <f t="shared" si="797"/>
        <v>-8.908907493713103E-2</v>
      </c>
      <c r="W712" s="284">
        <f t="shared" si="798"/>
        <v>-0.35090785611729902</v>
      </c>
      <c r="X712" s="284">
        <f t="shared" si="799"/>
        <v>-0.10830456874018268</v>
      </c>
    </row>
    <row r="713" spans="1:24">
      <c r="A713" s="216" t="s">
        <v>28</v>
      </c>
      <c r="J713" s="211">
        <f t="shared" ref="J713:P713" si="803">IFERROR((J$704*J687*11.63/1000000+R670)/(J687*11.63+J653)*1000000,"")</f>
        <v>394.25987873529436</v>
      </c>
      <c r="K713" s="211">
        <f t="shared" si="803"/>
        <v>246.80432431067428</v>
      </c>
      <c r="L713" s="211" t="str">
        <f t="shared" si="803"/>
        <v/>
      </c>
      <c r="M713" s="211">
        <f t="shared" si="803"/>
        <v>256.3385774778497</v>
      </c>
      <c r="N713" s="211">
        <f t="shared" si="803"/>
        <v>183.36961771986554</v>
      </c>
      <c r="O713" s="211">
        <f t="shared" si="803"/>
        <v>0.95155905424561138</v>
      </c>
      <c r="P713" s="211">
        <f t="shared" si="803"/>
        <v>235.67853353417689</v>
      </c>
      <c r="R713" s="284">
        <f t="shared" si="793"/>
        <v>-0.17478306725340154</v>
      </c>
      <c r="S713" s="284">
        <f t="shared" si="794"/>
        <v>-0.14170670635112015</v>
      </c>
      <c r="T713" s="284" t="str">
        <f t="shared" si="795"/>
        <v/>
      </c>
      <c r="U713" s="284">
        <f t="shared" si="796"/>
        <v>-0.28942374876179633</v>
      </c>
      <c r="V713" s="284">
        <f t="shared" si="797"/>
        <v>-0.23760899201013608</v>
      </c>
      <c r="W713" s="284">
        <f t="shared" si="798"/>
        <v>-0.82256708260024947</v>
      </c>
      <c r="X713" s="284">
        <f t="shared" si="799"/>
        <v>-0.1401570818522716</v>
      </c>
    </row>
    <row r="714" spans="1:24">
      <c r="A714" s="216" t="s">
        <v>29</v>
      </c>
      <c r="J714" s="211" t="str">
        <f t="shared" ref="J714:O714" si="804">IFERROR((J$704*J688*11.63/1000000+R671)/(J688*11.63+J654)*1000000,"")</f>
        <v/>
      </c>
      <c r="K714" s="211">
        <f t="shared" si="804"/>
        <v>358.64294690758334</v>
      </c>
      <c r="L714" s="211">
        <f t="shared" si="804"/>
        <v>1502.9784087519492</v>
      </c>
      <c r="M714" s="211">
        <f t="shared" si="804"/>
        <v>288.0952428102658</v>
      </c>
      <c r="N714" s="211">
        <f>IFERROR((N$704*N688*11.63/1000000+V671)/(N688*11.63+N654)*1000000,"")</f>
        <v>276.53252487777274</v>
      </c>
      <c r="O714" s="211">
        <f t="shared" si="804"/>
        <v>2.7487739080625055</v>
      </c>
      <c r="P714" s="211">
        <f>IFERROR((P$704*P688*11.63/1000000+X671)/(P688*11.63+P654)*1000000,"")</f>
        <v>441.83010422676603</v>
      </c>
      <c r="R714" s="284" t="str">
        <f t="shared" si="793"/>
        <v/>
      </c>
      <c r="S714" s="284">
        <f t="shared" si="794"/>
        <v>-0.29224631508719023</v>
      </c>
      <c r="T714" s="284">
        <f t="shared" si="795"/>
        <v>-0.12707175938895665</v>
      </c>
      <c r="U714" s="284">
        <f t="shared" si="796"/>
        <v>-0.45765889090171508</v>
      </c>
      <c r="V714" s="284">
        <f t="shared" si="797"/>
        <v>-0.4642542917489052</v>
      </c>
      <c r="W714" s="284">
        <f t="shared" si="798"/>
        <v>-0.7514387606327021</v>
      </c>
      <c r="X714" s="284">
        <f t="shared" si="799"/>
        <v>-0.43881268851861988</v>
      </c>
    </row>
    <row r="716" spans="1:24">
      <c r="J716" s="211"/>
      <c r="K716" s="211"/>
      <c r="L716" s="211"/>
      <c r="M716" s="211"/>
      <c r="N716" s="211"/>
      <c r="O716" s="211"/>
      <c r="P716" s="211"/>
    </row>
    <row r="717" spans="1:24">
      <c r="J717" s="211"/>
      <c r="K717" s="211"/>
      <c r="L717" s="211"/>
      <c r="M717" s="211"/>
      <c r="N717" s="211"/>
      <c r="O717" s="211"/>
      <c r="P717" s="211"/>
    </row>
    <row r="718" spans="1:24">
      <c r="J718" s="211"/>
      <c r="K718" s="211"/>
      <c r="L718" s="211"/>
      <c r="M718" s="211"/>
      <c r="N718" s="211"/>
      <c r="O718" s="211"/>
      <c r="P718" s="211"/>
    </row>
    <row r="719" spans="1:24">
      <c r="J719" s="211"/>
      <c r="K719" s="211"/>
      <c r="L719" s="211"/>
      <c r="M719" s="211"/>
      <c r="N719" s="211"/>
      <c r="O719" s="211"/>
      <c r="P719" s="211"/>
    </row>
    <row r="720" spans="1:24">
      <c r="J720" s="211"/>
      <c r="K720" s="211"/>
      <c r="L720" s="211"/>
      <c r="M720" s="211"/>
      <c r="N720" s="211"/>
      <c r="O720" s="211"/>
      <c r="P720" s="211"/>
    </row>
    <row r="721" spans="1:43">
      <c r="J721" s="211"/>
      <c r="K721" s="211"/>
      <c r="L721" s="211"/>
      <c r="M721" s="211"/>
      <c r="N721" s="211"/>
      <c r="O721" s="211"/>
      <c r="P721" s="211"/>
    </row>
    <row r="724" spans="1:43">
      <c r="J724" s="284">
        <f t="shared" ref="J724:O724" si="805">J734/J740</f>
        <v>3.310085576128496E-3</v>
      </c>
      <c r="K724" s="284">
        <f t="shared" si="805"/>
        <v>0.65607404641160671</v>
      </c>
      <c r="L724" s="284">
        <f t="shared" si="805"/>
        <v>0.98531796072779687</v>
      </c>
      <c r="M724" s="284">
        <f t="shared" si="805"/>
        <v>0.43193423838585127</v>
      </c>
      <c r="N724" s="284">
        <f t="shared" si="805"/>
        <v>0.62573701512286795</v>
      </c>
      <c r="O724" s="284">
        <f t="shared" si="805"/>
        <v>0.61240216736905484</v>
      </c>
      <c r="P724" s="284">
        <f>SUM(K734:O734)/SUM(K740:O740)</f>
        <v>0.64571316488188502</v>
      </c>
    </row>
    <row r="725" spans="1:43">
      <c r="J725" s="196">
        <f>J774*((J734/11.63)/((J734/11.63)+J768))*41.868</f>
        <v>591.57248592403596</v>
      </c>
      <c r="K725" s="196">
        <f t="shared" ref="K725:P725" si="806">K774*((K734/11.63)/((K734/11.63)+K768))*41.868</f>
        <v>394012.31627698679</v>
      </c>
      <c r="L725" s="196">
        <f t="shared" si="806"/>
        <v>15443.083498495505</v>
      </c>
      <c r="M725" s="196">
        <f t="shared" si="806"/>
        <v>11379.666043071249</v>
      </c>
      <c r="N725" s="196">
        <f t="shared" si="806"/>
        <v>82864.969211445408</v>
      </c>
      <c r="O725" s="196">
        <f t="shared" si="806"/>
        <v>31214.30906355381</v>
      </c>
      <c r="P725" s="196">
        <f t="shared" si="806"/>
        <v>534387.66932793881</v>
      </c>
    </row>
    <row r="726" spans="1:43">
      <c r="A726" s="68" t="s">
        <v>212</v>
      </c>
      <c r="J726" s="68" t="s">
        <v>199</v>
      </c>
      <c r="R726" s="68" t="s">
        <v>136</v>
      </c>
      <c r="S726" s="68"/>
      <c r="AJ726" s="68" t="s">
        <v>288</v>
      </c>
    </row>
    <row r="727" spans="1:43" ht="15.6">
      <c r="A727" s="68"/>
      <c r="J727" s="210" t="s">
        <v>5</v>
      </c>
      <c r="K727" s="210" t="s">
        <v>210</v>
      </c>
      <c r="L727" s="210" t="s">
        <v>211</v>
      </c>
      <c r="M727" s="210" t="s">
        <v>214</v>
      </c>
      <c r="N727" s="210" t="s">
        <v>216</v>
      </c>
      <c r="O727" s="210" t="s">
        <v>215</v>
      </c>
      <c r="P727" s="210" t="s">
        <v>213</v>
      </c>
      <c r="Q727" s="2"/>
      <c r="R727" s="210" t="s">
        <v>5</v>
      </c>
      <c r="S727" s="210" t="s">
        <v>210</v>
      </c>
      <c r="T727" s="210" t="s">
        <v>211</v>
      </c>
      <c r="U727" s="210" t="s">
        <v>214</v>
      </c>
      <c r="V727" s="210" t="s">
        <v>216</v>
      </c>
      <c r="W727" s="210" t="s">
        <v>215</v>
      </c>
      <c r="X727" s="210" t="s">
        <v>213</v>
      </c>
      <c r="AA727" s="68" t="s">
        <v>218</v>
      </c>
      <c r="AB727" s="213" t="s">
        <v>217</v>
      </c>
      <c r="AJ727" s="68"/>
      <c r="AK727" s="210" t="s">
        <v>5</v>
      </c>
      <c r="AL727" s="210" t="s">
        <v>210</v>
      </c>
      <c r="AM727" s="210" t="s">
        <v>211</v>
      </c>
      <c r="AN727" s="210" t="s">
        <v>214</v>
      </c>
      <c r="AO727" s="210" t="s">
        <v>216</v>
      </c>
      <c r="AP727" s="210" t="s">
        <v>215</v>
      </c>
      <c r="AQ727" s="210" t="s">
        <v>213</v>
      </c>
    </row>
    <row r="728" spans="1:43" ht="15.6">
      <c r="A728" s="11" t="s">
        <v>17</v>
      </c>
      <c r="J728" s="209">
        <f t="shared" ref="J728:P728" si="807">SUM(J729:J733)</f>
        <v>43058.3</v>
      </c>
      <c r="K728" s="209">
        <f t="shared" si="807"/>
        <v>38127.699999999997</v>
      </c>
      <c r="L728" s="209">
        <f t="shared" si="807"/>
        <v>32.6</v>
      </c>
      <c r="M728" s="209">
        <f t="shared" si="807"/>
        <v>3192.7000000000003</v>
      </c>
      <c r="N728" s="209">
        <f t="shared" si="807"/>
        <v>7953.56</v>
      </c>
      <c r="O728" s="209">
        <f t="shared" si="807"/>
        <v>3219</v>
      </c>
      <c r="P728" s="209">
        <f t="shared" si="807"/>
        <v>95583.86</v>
      </c>
      <c r="Q728" s="2"/>
      <c r="R728" s="68">
        <v>9.5229999999999997</v>
      </c>
      <c r="S728" s="68">
        <v>6.8440000000000003</v>
      </c>
      <c r="T728" s="68">
        <v>8.9510000000000005</v>
      </c>
      <c r="U728" s="68">
        <v>10.19</v>
      </c>
      <c r="V728" s="68">
        <v>11.205</v>
      </c>
      <c r="W728" s="68">
        <v>9.76</v>
      </c>
      <c r="X728" s="68">
        <v>8.6240000000000006</v>
      </c>
      <c r="AA728" s="68" t="s">
        <v>5</v>
      </c>
      <c r="AJ728" s="11" t="s">
        <v>17</v>
      </c>
      <c r="AK728" s="286">
        <f>IFERROR(J728*3.6/J745,"")</f>
        <v>0.3780272897900499</v>
      </c>
      <c r="AL728" s="286">
        <f t="shared" ref="AL728:AL740" si="808">IFERROR(K728*3.6/K745,"")</f>
        <v>0.52606504804522303</v>
      </c>
      <c r="AM728" s="286">
        <f t="shared" ref="AM728:AM740" si="809">IFERROR(L728*3.6/L745,"")</f>
        <v>0.402189699474919</v>
      </c>
      <c r="AN728" s="286">
        <f t="shared" ref="AN728:AN740" si="810">IFERROR(M728*3.6/M745,"")</f>
        <v>0.35329421856504789</v>
      </c>
      <c r="AO728" s="286">
        <f t="shared" ref="AO728:AO740" si="811">IFERROR(N728*3.6/N745,"")</f>
        <v>0.32128140197369714</v>
      </c>
      <c r="AP728" s="286">
        <f t="shared" ref="AP728:AP737" si="812">IFERROR(O728*3.6/O745,"")</f>
        <v>0.36883600444390668</v>
      </c>
      <c r="AQ728" s="286">
        <f t="shared" ref="AQ728:AQ740" si="813">IFERROR(P728*3.6/P745,"")</f>
        <v>0.41743143589913523</v>
      </c>
    </row>
    <row r="729" spans="1:43" ht="15.6">
      <c r="A729" s="10" t="s">
        <v>18</v>
      </c>
      <c r="K729">
        <v>212.5</v>
      </c>
      <c r="L729">
        <v>32.6</v>
      </c>
      <c r="M729">
        <v>264.8</v>
      </c>
      <c r="N729">
        <v>1297.3</v>
      </c>
      <c r="O729">
        <v>3162.9</v>
      </c>
      <c r="P729" s="68">
        <f>SUM(J729:O729)</f>
        <v>4970.1000000000004</v>
      </c>
      <c r="Q729" s="2"/>
      <c r="S729">
        <v>10.316000000000001</v>
      </c>
      <c r="T729">
        <v>8.9510000000000005</v>
      </c>
      <c r="U729">
        <v>9.6340000000000003</v>
      </c>
      <c r="V729">
        <v>8.8019999999999996</v>
      </c>
      <c r="W729">
        <v>9.7430000000000003</v>
      </c>
      <c r="X729" s="68">
        <v>9.5109999999999992</v>
      </c>
      <c r="Z729" s="199">
        <f>AA729*AB729</f>
        <v>904759.85194777581</v>
      </c>
      <c r="AA729" s="215">
        <v>9562.1</v>
      </c>
      <c r="AB729" s="208">
        <v>94.619367288333706</v>
      </c>
      <c r="AC729" s="216" t="s">
        <v>59</v>
      </c>
      <c r="AJ729" s="10" t="s">
        <v>18</v>
      </c>
      <c r="AK729" s="56" t="str">
        <f t="shared" ref="AK729:AK740" si="814">IFERROR(J729*3.6/J746,"")</f>
        <v/>
      </c>
      <c r="AL729" s="56">
        <f t="shared" si="808"/>
        <v>0.34897246994959286</v>
      </c>
      <c r="AM729" s="56">
        <f t="shared" si="809"/>
        <v>0.402189699474919</v>
      </c>
      <c r="AN729" s="56">
        <f t="shared" si="810"/>
        <v>0.373676562175628</v>
      </c>
      <c r="AO729" s="56">
        <f t="shared" si="811"/>
        <v>0.40899795501022501</v>
      </c>
      <c r="AP729" s="56">
        <f t="shared" si="812"/>
        <v>0.36949604844503747</v>
      </c>
      <c r="AQ729" s="286">
        <f t="shared" si="813"/>
        <v>0.37851402728111827</v>
      </c>
    </row>
    <row r="730" spans="1:43" ht="15.6">
      <c r="A730" s="10" t="s">
        <v>19</v>
      </c>
      <c r="K730">
        <v>3494.6</v>
      </c>
      <c r="M730">
        <v>5.7</v>
      </c>
      <c r="N730">
        <v>16.3</v>
      </c>
      <c r="O730">
        <v>36.6</v>
      </c>
      <c r="P730" s="68">
        <f>SUM(J730:O730)</f>
        <v>3553.2</v>
      </c>
      <c r="Q730" s="2"/>
      <c r="S730">
        <v>7.1109999999999998</v>
      </c>
      <c r="U730">
        <v>14.776</v>
      </c>
      <c r="V730">
        <v>14.093999999999999</v>
      </c>
      <c r="W730">
        <v>11.313000000000001</v>
      </c>
      <c r="X730" s="68">
        <v>7.1989999999999998</v>
      </c>
      <c r="Z730" s="199">
        <f>AA730*AB730</f>
        <v>4418.7244523651843</v>
      </c>
      <c r="AA730" s="215">
        <v>46.7</v>
      </c>
      <c r="AB730" s="208">
        <v>94.619367288333706</v>
      </c>
      <c r="AC730" s="216" t="s">
        <v>60</v>
      </c>
      <c r="AJ730" s="10" t="s">
        <v>19</v>
      </c>
      <c r="AK730" s="56" t="str">
        <f t="shared" si="814"/>
        <v/>
      </c>
      <c r="AL730" s="56">
        <f t="shared" si="808"/>
        <v>0.50625791027984812</v>
      </c>
      <c r="AM730" s="56" t="str">
        <f t="shared" si="809"/>
        <v/>
      </c>
      <c r="AN730" s="56">
        <f t="shared" si="810"/>
        <v>0.24363833243096911</v>
      </c>
      <c r="AO730" s="56">
        <f t="shared" si="811"/>
        <v>0.2554278416347382</v>
      </c>
      <c r="AP730" s="56">
        <f t="shared" si="812"/>
        <v>0.31821797931583135</v>
      </c>
      <c r="AQ730" s="286">
        <f t="shared" si="813"/>
        <v>0.50009633627451744</v>
      </c>
    </row>
    <row r="731" spans="1:43" ht="15.6">
      <c r="A731" s="10" t="s">
        <v>20</v>
      </c>
      <c r="J731">
        <v>43058.3</v>
      </c>
      <c r="K731">
        <v>630.29999999999995</v>
      </c>
      <c r="M731">
        <v>2911.9</v>
      </c>
      <c r="N731">
        <v>4395</v>
      </c>
      <c r="O731">
        <v>8.6999999999999993</v>
      </c>
      <c r="P731" s="68">
        <f>SUM(J731:O731)</f>
        <v>51004.200000000004</v>
      </c>
      <c r="Q731" s="2"/>
      <c r="R731" s="201">
        <v>9.5231220000000008</v>
      </c>
      <c r="S731">
        <v>9.0649999999999995</v>
      </c>
      <c r="U731">
        <v>10.24</v>
      </c>
      <c r="V731">
        <v>13.733000000000001</v>
      </c>
      <c r="W731">
        <v>9.0169999999999995</v>
      </c>
      <c r="X731" s="68">
        <v>9.9209999999999994</v>
      </c>
      <c r="Z731" s="199">
        <f>AA731*AB731</f>
        <v>0</v>
      </c>
      <c r="AA731" s="215">
        <v>0</v>
      </c>
      <c r="AB731" s="208">
        <v>101</v>
      </c>
      <c r="AC731" s="216" t="s">
        <v>61</v>
      </c>
      <c r="AJ731" s="10" t="s">
        <v>20</v>
      </c>
      <c r="AK731" s="56">
        <f t="shared" si="814"/>
        <v>0.3780272897900499</v>
      </c>
      <c r="AL731" s="56">
        <f t="shared" si="808"/>
        <v>0.39713182570325434</v>
      </c>
      <c r="AM731" s="56" t="str">
        <f t="shared" si="809"/>
        <v/>
      </c>
      <c r="AN731" s="56">
        <f t="shared" si="810"/>
        <v>0.3515625</v>
      </c>
      <c r="AO731" s="56">
        <f t="shared" si="811"/>
        <v>0.26214228500691761</v>
      </c>
      <c r="AP731" s="56">
        <f t="shared" si="812"/>
        <v>0.39924586891427305</v>
      </c>
      <c r="AQ731" s="286">
        <f t="shared" si="813"/>
        <v>0.36286429138163251</v>
      </c>
    </row>
    <row r="732" spans="1:43" ht="15.6">
      <c r="A732" s="10" t="s">
        <v>21</v>
      </c>
      <c r="K732">
        <v>33786.6</v>
      </c>
      <c r="M732">
        <v>10.3</v>
      </c>
      <c r="N732">
        <v>2244.96</v>
      </c>
      <c r="O732">
        <v>10.8</v>
      </c>
      <c r="P732" s="68">
        <f>SUM(J732:O732)</f>
        <v>36052.660000000003</v>
      </c>
      <c r="Q732" s="2"/>
      <c r="S732">
        <v>6.7519999999999998</v>
      </c>
      <c r="U732">
        <v>7.7510000000000003</v>
      </c>
      <c r="V732">
        <v>7.6239999999999997</v>
      </c>
      <c r="W732">
        <v>10.204000000000001</v>
      </c>
      <c r="X732" s="68">
        <v>6.8079999999999998</v>
      </c>
      <c r="Z732" s="199">
        <f>AA732*AB732</f>
        <v>19256.6417</v>
      </c>
      <c r="AA732" s="215">
        <v>200.3</v>
      </c>
      <c r="AB732" s="275">
        <v>96.138999999999996</v>
      </c>
      <c r="AC732" s="216" t="s">
        <v>62</v>
      </c>
      <c r="AJ732" s="10" t="s">
        <v>21</v>
      </c>
      <c r="AK732" s="56" t="str">
        <f t="shared" si="814"/>
        <v/>
      </c>
      <c r="AL732" s="56">
        <f t="shared" si="808"/>
        <v>0.53317535545023698</v>
      </c>
      <c r="AM732" s="56" t="str">
        <f t="shared" si="809"/>
        <v/>
      </c>
      <c r="AN732" s="56">
        <f t="shared" si="810"/>
        <v>0.46445619920010328</v>
      </c>
      <c r="AO732" s="56">
        <f t="shared" si="811"/>
        <v>0.47219307450157405</v>
      </c>
      <c r="AP732" s="56">
        <f t="shared" si="812"/>
        <v>0.35280282242257938</v>
      </c>
      <c r="AQ732" s="286">
        <f t="shared" si="813"/>
        <v>0.52881933243279222</v>
      </c>
    </row>
    <row r="733" spans="1:43" ht="15.6">
      <c r="A733" s="10" t="s">
        <v>23</v>
      </c>
      <c r="K733">
        <v>3.7</v>
      </c>
      <c r="P733" s="68">
        <f>SUM(J733:O733)</f>
        <v>3.7</v>
      </c>
      <c r="Q733" s="2"/>
      <c r="S733">
        <v>9.3859999999999992</v>
      </c>
      <c r="X733" s="68">
        <v>9.3859999999999992</v>
      </c>
      <c r="Z733" s="199"/>
      <c r="AA733" s="209" t="s">
        <v>237</v>
      </c>
      <c r="AB733" s="208"/>
      <c r="AJ733" s="10" t="s">
        <v>23</v>
      </c>
      <c r="AK733" s="56" t="str">
        <f t="shared" si="814"/>
        <v/>
      </c>
      <c r="AL733" s="56">
        <f t="shared" si="808"/>
        <v>0.38354996803750269</v>
      </c>
      <c r="AM733" s="56" t="str">
        <f t="shared" si="809"/>
        <v/>
      </c>
      <c r="AN733" s="56" t="str">
        <f t="shared" si="810"/>
        <v/>
      </c>
      <c r="AO733" s="56" t="str">
        <f t="shared" si="811"/>
        <v/>
      </c>
      <c r="AP733" s="56" t="str">
        <f t="shared" si="812"/>
        <v/>
      </c>
      <c r="AQ733" s="286">
        <f t="shared" si="813"/>
        <v>0.38354996803750269</v>
      </c>
    </row>
    <row r="734" spans="1:43" ht="15.6">
      <c r="A734" s="11" t="s">
        <v>24</v>
      </c>
      <c r="J734" s="209">
        <f t="shared" ref="J734:P734" si="815">SUM(J735:J739)</f>
        <v>143</v>
      </c>
      <c r="K734" s="209">
        <f t="shared" si="815"/>
        <v>72732.5</v>
      </c>
      <c r="L734" s="209">
        <f t="shared" si="815"/>
        <v>2187.8000000000002</v>
      </c>
      <c r="M734" s="209">
        <f t="shared" si="815"/>
        <v>2427.6</v>
      </c>
      <c r="N734" s="209">
        <f t="shared" si="815"/>
        <v>13297.7</v>
      </c>
      <c r="O734" s="209">
        <f t="shared" si="815"/>
        <v>5086</v>
      </c>
      <c r="P734" s="209">
        <f t="shared" si="815"/>
        <v>95874.599999999991</v>
      </c>
      <c r="Q734" s="2"/>
      <c r="R734" s="68">
        <v>4.4480000000000004</v>
      </c>
      <c r="S734" s="68">
        <v>6.1319999999999997</v>
      </c>
      <c r="T734" s="68">
        <v>8.6989999999999998</v>
      </c>
      <c r="U734" s="68">
        <v>6.415</v>
      </c>
      <c r="V734" s="68">
        <v>7.9749999999999996</v>
      </c>
      <c r="W734" s="68">
        <v>7.0890000000000004</v>
      </c>
      <c r="X734" s="68">
        <v>6.5019999999999998</v>
      </c>
      <c r="Z734" s="199">
        <f>AA734*AB734</f>
        <v>12756.999126521083</v>
      </c>
      <c r="AA734" s="215">
        <v>63.3</v>
      </c>
      <c r="AB734" s="272">
        <v>201.53237166699975</v>
      </c>
      <c r="AC734" s="216" t="s">
        <v>154</v>
      </c>
      <c r="AJ734" s="11" t="s">
        <v>24</v>
      </c>
      <c r="AK734" s="286">
        <f t="shared" si="814"/>
        <v>0.80930518603014745</v>
      </c>
      <c r="AL734" s="286">
        <f t="shared" si="808"/>
        <v>0.58705323415327482</v>
      </c>
      <c r="AM734" s="286">
        <f t="shared" si="809"/>
        <v>0.41384962823507804</v>
      </c>
      <c r="AN734" s="286">
        <f t="shared" si="810"/>
        <v>0.56115729793144919</v>
      </c>
      <c r="AO734" s="286">
        <f t="shared" si="811"/>
        <v>0.45143974649752183</v>
      </c>
      <c r="AP734" s="286">
        <f t="shared" si="812"/>
        <v>0.50780187791455633</v>
      </c>
      <c r="AQ734" s="286">
        <f t="shared" si="813"/>
        <v>0.55369123808789333</v>
      </c>
    </row>
    <row r="735" spans="1:43" ht="15.6">
      <c r="A735" s="10" t="s">
        <v>25</v>
      </c>
      <c r="K735">
        <v>7256.2</v>
      </c>
      <c r="L735">
        <v>137.1</v>
      </c>
      <c r="M735">
        <v>32.1</v>
      </c>
      <c r="N735">
        <v>1873.5</v>
      </c>
      <c r="O735">
        <v>5052.3</v>
      </c>
      <c r="P735" s="68">
        <f>SUM(J735:O735)</f>
        <v>14351.2</v>
      </c>
      <c r="Q735" s="2"/>
      <c r="S735">
        <v>5.6239999999999997</v>
      </c>
      <c r="T735">
        <v>7.1429999999999998</v>
      </c>
      <c r="U735">
        <v>6.6360000000000001</v>
      </c>
      <c r="V735">
        <v>7.548</v>
      </c>
      <c r="W735">
        <v>7.0839999999999996</v>
      </c>
      <c r="X735" s="68">
        <v>6.4059999999999997</v>
      </c>
      <c r="Z735" s="199">
        <f>AA735*AB735</f>
        <v>66744.22738152591</v>
      </c>
      <c r="AA735" s="215">
        <v>266.89999999999998</v>
      </c>
      <c r="AB735" s="273">
        <v>250.0720396460319</v>
      </c>
      <c r="AC735" s="216" t="s">
        <v>155</v>
      </c>
      <c r="AJ735" s="10" t="s">
        <v>25</v>
      </c>
      <c r="AK735" s="56" t="str">
        <f t="shared" si="814"/>
        <v/>
      </c>
      <c r="AL735" s="56">
        <f t="shared" si="808"/>
        <v>0.64011379800853485</v>
      </c>
      <c r="AM735" s="56">
        <f t="shared" si="809"/>
        <v>0.50398992020159605</v>
      </c>
      <c r="AN735" s="56">
        <f t="shared" si="810"/>
        <v>0.54249547920433994</v>
      </c>
      <c r="AO735" s="56">
        <f t="shared" si="811"/>
        <v>0.47694753577106519</v>
      </c>
      <c r="AP735" s="56">
        <f t="shared" si="812"/>
        <v>0.50818746470920395</v>
      </c>
      <c r="AQ735" s="286">
        <f t="shared" si="813"/>
        <v>0.56197881251838655</v>
      </c>
    </row>
    <row r="736" spans="1:43" ht="15.6">
      <c r="A736" s="10" t="s">
        <v>26</v>
      </c>
      <c r="K736">
        <v>4244</v>
      </c>
      <c r="L736">
        <v>0.2</v>
      </c>
      <c r="M736">
        <v>404.6</v>
      </c>
      <c r="N736">
        <v>12.7</v>
      </c>
      <c r="O736">
        <v>4.2</v>
      </c>
      <c r="P736" s="68">
        <f>SUM(J736:O736)</f>
        <v>4665.7</v>
      </c>
      <c r="Q736" s="2"/>
      <c r="S736">
        <v>5.984</v>
      </c>
      <c r="T736">
        <v>4.6909999999999998</v>
      </c>
      <c r="U736">
        <v>5.03</v>
      </c>
      <c r="V736">
        <v>8.8879999999999999</v>
      </c>
      <c r="W736">
        <v>7.7590000000000003</v>
      </c>
      <c r="X736" s="68">
        <v>5.9109999999999996</v>
      </c>
      <c r="Z736" s="199">
        <f>AA736*AB736</f>
        <v>5383.9082547579965</v>
      </c>
      <c r="AA736" s="215">
        <v>124.3</v>
      </c>
      <c r="AB736" s="273">
        <v>43.313823449380507</v>
      </c>
      <c r="AC736" s="216" t="s">
        <v>156</v>
      </c>
      <c r="AJ736" s="10" t="s">
        <v>26</v>
      </c>
      <c r="AK736" s="56" t="str">
        <f t="shared" si="814"/>
        <v/>
      </c>
      <c r="AL736" s="56">
        <f t="shared" si="808"/>
        <v>0.60160427807486627</v>
      </c>
      <c r="AM736" s="56">
        <f t="shared" si="809"/>
        <v>0.76742698784907271</v>
      </c>
      <c r="AN736" s="56">
        <f t="shared" si="810"/>
        <v>0.71570576540755471</v>
      </c>
      <c r="AO736" s="56">
        <f t="shared" si="811"/>
        <v>0.40504050405040509</v>
      </c>
      <c r="AP736" s="56">
        <f t="shared" si="812"/>
        <v>0.46397731666451864</v>
      </c>
      <c r="AQ736" s="286">
        <f t="shared" si="813"/>
        <v>0.60906304751789175</v>
      </c>
    </row>
    <row r="737" spans="1:43" ht="15.6">
      <c r="A737" s="10" t="s">
        <v>27</v>
      </c>
      <c r="J737">
        <v>131.1</v>
      </c>
      <c r="K737">
        <v>59526.6</v>
      </c>
      <c r="L737">
        <v>895.8</v>
      </c>
      <c r="M737">
        <v>1465.8</v>
      </c>
      <c r="N737">
        <v>7378.3</v>
      </c>
      <c r="O737">
        <v>26.9</v>
      </c>
      <c r="P737" s="68">
        <f>SUM(J737:O737)</f>
        <v>69424.5</v>
      </c>
      <c r="Q737" s="2"/>
      <c r="R737">
        <v>4.3959999999999999</v>
      </c>
      <c r="S737">
        <v>6.1849999999999996</v>
      </c>
      <c r="T737">
        <v>8.266</v>
      </c>
      <c r="U737">
        <v>6.4889999999999999</v>
      </c>
      <c r="V737">
        <v>6.0449999999999999</v>
      </c>
      <c r="W737">
        <v>7.8090000000000002</v>
      </c>
      <c r="X737" s="68">
        <v>6.2</v>
      </c>
      <c r="Z737" s="199">
        <f>AA737*AB737</f>
        <v>392.7</v>
      </c>
      <c r="AA737" s="215">
        <v>7</v>
      </c>
      <c r="AB737" s="273">
        <v>56.1</v>
      </c>
      <c r="AC737" s="217" t="s">
        <v>220</v>
      </c>
      <c r="AJ737" s="10" t="s">
        <v>27</v>
      </c>
      <c r="AK737" s="56">
        <f t="shared" si="814"/>
        <v>0.81892629663330296</v>
      </c>
      <c r="AL737" s="56">
        <f t="shared" si="808"/>
        <v>0.58205335489086507</v>
      </c>
      <c r="AM737" s="56">
        <f t="shared" si="809"/>
        <v>0.43551899346721512</v>
      </c>
      <c r="AN737" s="56">
        <f t="shared" si="810"/>
        <v>0.55478502080443837</v>
      </c>
      <c r="AO737" s="56">
        <f t="shared" si="811"/>
        <v>0.59553349875930528</v>
      </c>
      <c r="AP737" s="56">
        <f t="shared" si="812"/>
        <v>0.46100653092585481</v>
      </c>
      <c r="AQ737" s="286">
        <f t="shared" si="813"/>
        <v>0.5805850282535715</v>
      </c>
    </row>
    <row r="738" spans="1:43" ht="15.6">
      <c r="A738" s="10" t="s">
        <v>28</v>
      </c>
      <c r="J738">
        <v>11.9</v>
      </c>
      <c r="K738">
        <v>772.8</v>
      </c>
      <c r="M738">
        <v>179</v>
      </c>
      <c r="N738">
        <v>601.6</v>
      </c>
      <c r="O738">
        <v>0.6</v>
      </c>
      <c r="P738" s="68">
        <f>SUM(J738:O738)</f>
        <v>1565.8999999999999</v>
      </c>
      <c r="Q738" s="2"/>
      <c r="R738">
        <v>5.024</v>
      </c>
      <c r="S738">
        <v>4.9029999999999996</v>
      </c>
      <c r="U738">
        <v>4.6349999999999998</v>
      </c>
      <c r="V738">
        <v>5.907</v>
      </c>
      <c r="W738">
        <v>4.7480000000000002</v>
      </c>
      <c r="X738" s="68">
        <v>5.2590000000000003</v>
      </c>
      <c r="AA738" s="209" t="s">
        <v>238</v>
      </c>
      <c r="AB738" s="208"/>
      <c r="AJ738" s="10" t="s">
        <v>28</v>
      </c>
      <c r="AK738" s="56">
        <f t="shared" si="814"/>
        <v>0.71656050955414019</v>
      </c>
      <c r="AL738" s="56">
        <f t="shared" si="808"/>
        <v>0.73424434019987772</v>
      </c>
      <c r="AM738" s="56" t="str">
        <f t="shared" si="809"/>
        <v/>
      </c>
      <c r="AN738" s="56">
        <f t="shared" si="810"/>
        <v>0.77669902912621358</v>
      </c>
      <c r="AO738" s="56">
        <f t="shared" si="811"/>
        <v>0.6094464195022854</v>
      </c>
      <c r="AP738" s="56">
        <f>IFERROR(O738*3.6/O755,"")</f>
        <v>0.75821398483572033</v>
      </c>
      <c r="AQ738" s="286">
        <f t="shared" si="813"/>
        <v>0.68454736247977988</v>
      </c>
    </row>
    <row r="739" spans="1:43" ht="15.6">
      <c r="A739" s="10" t="s">
        <v>29</v>
      </c>
      <c r="K739">
        <v>932.9</v>
      </c>
      <c r="L739">
        <v>1154.7</v>
      </c>
      <c r="M739">
        <v>346.1</v>
      </c>
      <c r="N739">
        <v>3431.6</v>
      </c>
      <c r="O739">
        <v>2</v>
      </c>
      <c r="P739" s="68">
        <f>SUM(J739:O739)</f>
        <v>5867.2999999999993</v>
      </c>
      <c r="Q739" s="2"/>
      <c r="S739">
        <v>8.4179999999999993</v>
      </c>
      <c r="T739">
        <v>9.2200000000000006</v>
      </c>
      <c r="U739">
        <v>8.6229999999999993</v>
      </c>
      <c r="V739">
        <v>12.715</v>
      </c>
      <c r="W739">
        <v>10.295</v>
      </c>
      <c r="X739" s="68">
        <v>11.102</v>
      </c>
      <c r="Z739" s="199">
        <f t="shared" ref="Z739:Z745" si="816">AA739*AB739</f>
        <v>28.6</v>
      </c>
      <c r="AA739" s="235">
        <v>0.4</v>
      </c>
      <c r="AB739" s="273">
        <v>71.5</v>
      </c>
      <c r="AC739" s="216" t="s">
        <v>66</v>
      </c>
      <c r="AJ739" s="10" t="s">
        <v>29</v>
      </c>
      <c r="AK739" s="56" t="str">
        <f t="shared" si="814"/>
        <v/>
      </c>
      <c r="AL739" s="56">
        <f t="shared" si="808"/>
        <v>0.42765502494654317</v>
      </c>
      <c r="AM739" s="56">
        <f t="shared" si="809"/>
        <v>0.39045553145336226</v>
      </c>
      <c r="AN739" s="56">
        <f t="shared" si="810"/>
        <v>0.41748811318566631</v>
      </c>
      <c r="AO739" s="56">
        <f t="shared" si="811"/>
        <v>0.28313016122689738</v>
      </c>
      <c r="AP739" s="56">
        <f>IFERROR(O739*3.6/O756,"")</f>
        <v>0.3496843127731909</v>
      </c>
      <c r="AQ739" s="286">
        <f t="shared" si="813"/>
        <v>0.32427323638830202</v>
      </c>
    </row>
    <row r="740" spans="1:43" ht="15.6">
      <c r="A740" s="11" t="s">
        <v>10</v>
      </c>
      <c r="J740" s="209">
        <f t="shared" ref="J740:P740" si="817">J728+J734</f>
        <v>43201.3</v>
      </c>
      <c r="K740" s="209">
        <f t="shared" si="817"/>
        <v>110860.2</v>
      </c>
      <c r="L740" s="209">
        <f t="shared" si="817"/>
        <v>2220.4</v>
      </c>
      <c r="M740" s="209">
        <f t="shared" si="817"/>
        <v>5620.3</v>
      </c>
      <c r="N740" s="209">
        <f t="shared" si="817"/>
        <v>21251.260000000002</v>
      </c>
      <c r="O740" s="209">
        <f t="shared" si="817"/>
        <v>8305</v>
      </c>
      <c r="P740" s="209">
        <f t="shared" si="817"/>
        <v>191458.46</v>
      </c>
      <c r="Q740" s="2"/>
      <c r="R740" s="68">
        <v>9.5060000000000002</v>
      </c>
      <c r="S740" s="68">
        <v>6.3769999999999998</v>
      </c>
      <c r="T740" s="68">
        <v>8.7029999999999994</v>
      </c>
      <c r="U740" s="68">
        <v>8.56</v>
      </c>
      <c r="V740" s="68">
        <v>9.1839999999999993</v>
      </c>
      <c r="W740" s="68">
        <v>8.125</v>
      </c>
      <c r="X740" s="68">
        <v>7.5609999999999999</v>
      </c>
      <c r="Z740" s="199">
        <f t="shared" si="816"/>
        <v>729.81681920545327</v>
      </c>
      <c r="AA740" s="235">
        <v>7.7</v>
      </c>
      <c r="AB740" s="273">
        <v>94.781405091617302</v>
      </c>
      <c r="AC740" s="216" t="s">
        <v>67</v>
      </c>
      <c r="AJ740" s="11" t="s">
        <v>10</v>
      </c>
      <c r="AK740" s="286">
        <f t="shared" si="814"/>
        <v>0.37869528599914415</v>
      </c>
      <c r="AL740" s="286">
        <f t="shared" si="808"/>
        <v>0.56454358650448455</v>
      </c>
      <c r="AM740" s="286">
        <f t="shared" si="809"/>
        <v>0.4136735486173882</v>
      </c>
      <c r="AN740" s="286">
        <f t="shared" si="810"/>
        <v>0.42058658269707699</v>
      </c>
      <c r="AO740" s="286">
        <f t="shared" si="811"/>
        <v>0.39200327702031773</v>
      </c>
      <c r="AP740" s="286">
        <f>IFERROR(O740*3.6/O757,"")</f>
        <v>0.44309466245884321</v>
      </c>
      <c r="AQ740" s="286">
        <f t="shared" si="813"/>
        <v>0.47610336345111759</v>
      </c>
    </row>
    <row r="741" spans="1:43">
      <c r="J741" s="284">
        <f t="shared" ref="J741:O741" si="818">J740/$P$740</f>
        <v>0.22564320218599901</v>
      </c>
      <c r="K741" s="284">
        <f t="shared" si="818"/>
        <v>0.57903004129459723</v>
      </c>
      <c r="L741" s="284">
        <f t="shared" si="818"/>
        <v>1.1597293741942771E-2</v>
      </c>
      <c r="M741" s="284">
        <f t="shared" si="818"/>
        <v>2.9355192766096626E-2</v>
      </c>
      <c r="N741" s="284">
        <f t="shared" si="818"/>
        <v>0.11099671437866994</v>
      </c>
      <c r="O741" s="284">
        <f t="shared" si="818"/>
        <v>4.3377555632694423E-2</v>
      </c>
      <c r="P741" s="177">
        <f>P734/11.63</f>
        <v>8243.7317282889071</v>
      </c>
      <c r="Z741" s="199">
        <f t="shared" si="816"/>
        <v>164.06</v>
      </c>
      <c r="AA741" s="235">
        <v>2.6</v>
      </c>
      <c r="AB741" s="273">
        <v>63.1</v>
      </c>
      <c r="AC741" s="216" t="s">
        <v>69</v>
      </c>
    </row>
    <row r="742" spans="1:43">
      <c r="Z742" s="199">
        <f t="shared" si="816"/>
        <v>14569.301620111317</v>
      </c>
      <c r="AA742" s="235">
        <v>255.8</v>
      </c>
      <c r="AB742" s="273">
        <v>56.95583119668224</v>
      </c>
      <c r="AC742" s="216" t="s">
        <v>70</v>
      </c>
    </row>
    <row r="743" spans="1:43">
      <c r="A743" s="68" t="str">
        <f>$A$726</f>
        <v>Dati 2015 lorda</v>
      </c>
      <c r="J743" s="68" t="s">
        <v>189</v>
      </c>
      <c r="R743" s="198">
        <f>R745/X745</f>
        <v>0.64843080011094001</v>
      </c>
      <c r="Z743" s="199">
        <f t="shared" si="816"/>
        <v>7810.1399999999994</v>
      </c>
      <c r="AA743" s="235">
        <v>105.4</v>
      </c>
      <c r="AB743" s="273">
        <v>74.099999999999994</v>
      </c>
      <c r="AC743" s="216" t="s">
        <v>71</v>
      </c>
    </row>
    <row r="744" spans="1:43">
      <c r="A744" s="299" t="s">
        <v>278</v>
      </c>
      <c r="J744" s="210" t="s">
        <v>5</v>
      </c>
      <c r="K744" s="210" t="s">
        <v>210</v>
      </c>
      <c r="L744" s="210" t="s">
        <v>211</v>
      </c>
      <c r="M744" s="210" t="s">
        <v>214</v>
      </c>
      <c r="N744" s="210" t="s">
        <v>216</v>
      </c>
      <c r="O744" s="210" t="s">
        <v>215</v>
      </c>
      <c r="P744" s="210" t="s">
        <v>213</v>
      </c>
      <c r="R744" s="68" t="s">
        <v>234</v>
      </c>
      <c r="Z744" s="199">
        <f t="shared" si="816"/>
        <v>0</v>
      </c>
      <c r="AA744" s="235">
        <v>0</v>
      </c>
      <c r="AB744" s="273">
        <v>74.099999999999994</v>
      </c>
      <c r="AC744" s="216" t="s">
        <v>72</v>
      </c>
      <c r="AJ744" s="68"/>
    </row>
    <row r="745" spans="1:43">
      <c r="A745" s="11" t="s">
        <v>17</v>
      </c>
      <c r="J745" s="209">
        <f t="shared" ref="J745:O745" si="819">SUM(J746:J750)</f>
        <v>410049.44401260006</v>
      </c>
      <c r="K745" s="209">
        <f t="shared" si="819"/>
        <v>260917.77149999997</v>
      </c>
      <c r="L745" s="209">
        <f t="shared" si="819"/>
        <v>291.80260000000004</v>
      </c>
      <c r="M745" s="209">
        <f t="shared" si="819"/>
        <v>32532.9977</v>
      </c>
      <c r="N745" s="209">
        <f t="shared" si="819"/>
        <v>89120.67684</v>
      </c>
      <c r="O745" s="209">
        <f t="shared" si="819"/>
        <v>31418.8416</v>
      </c>
      <c r="P745" s="212">
        <f>SUM(J745:O745)</f>
        <v>824331.53425260005</v>
      </c>
      <c r="Q745" s="198"/>
      <c r="R745" s="209">
        <f t="shared" ref="R745:W745" si="820">SUM(R746:R750)</f>
        <v>38.811191654309333</v>
      </c>
      <c r="S745" s="209">
        <f t="shared" si="820"/>
        <v>15.037477065014132</v>
      </c>
      <c r="T745" s="209">
        <f t="shared" si="820"/>
        <v>5.3917726328105903E-2</v>
      </c>
      <c r="U745" s="209">
        <f t="shared" si="820"/>
        <v>2.3450924212604334</v>
      </c>
      <c r="V745" s="209">
        <f t="shared" si="820"/>
        <v>3.5735068432987123</v>
      </c>
      <c r="W745" s="209">
        <f t="shared" si="820"/>
        <v>3.2836720045731176E-2</v>
      </c>
      <c r="X745" s="220">
        <f>SUM(R745:W745)</f>
        <v>59.854022430256443</v>
      </c>
      <c r="Z745" s="199">
        <f t="shared" si="816"/>
        <v>59529.00052074121</v>
      </c>
      <c r="AA745" s="235">
        <v>777.09999999999991</v>
      </c>
      <c r="AB745" s="273">
        <v>76.604041334115578</v>
      </c>
      <c r="AC745" s="233" t="s">
        <v>73</v>
      </c>
      <c r="AJ745" s="68"/>
    </row>
    <row r="746" spans="1:43">
      <c r="A746" s="10" t="s">
        <v>18</v>
      </c>
      <c r="J746" s="197">
        <f t="shared" ref="J746:J756" si="821">IFERROR(J729*R729,"")</f>
        <v>0</v>
      </c>
      <c r="K746" s="197">
        <f t="shared" ref="K746:K756" si="822">IFERROR(K729*S729,"")</f>
        <v>2192.15</v>
      </c>
      <c r="L746" s="197">
        <f t="shared" ref="L746:L756" si="823">IFERROR(L729*T729,"")</f>
        <v>291.80260000000004</v>
      </c>
      <c r="M746" s="197">
        <f t="shared" ref="M746:M756" si="824">IFERROR(M729*U729,"")</f>
        <v>2551.0832</v>
      </c>
      <c r="N746" s="197">
        <f t="shared" ref="N746:N756" si="825">IFERROR(N729*V729,"")</f>
        <v>11418.834599999998</v>
      </c>
      <c r="O746" s="197">
        <f t="shared" ref="O746:O756" si="826">IFERROR(O729*W729,"")</f>
        <v>30816.134700000002</v>
      </c>
      <c r="P746" s="212">
        <f t="shared" ref="P746:P756" si="827">SUM(J746:O746)</f>
        <v>47270.005100000002</v>
      </c>
      <c r="Q746" s="198"/>
      <c r="R746" s="211">
        <f t="shared" ref="R746:W750" si="828">J746*J$760/1000000</f>
        <v>0</v>
      </c>
      <c r="S746" s="211">
        <f t="shared" si="828"/>
        <v>0.12634020733260298</v>
      </c>
      <c r="T746" s="90">
        <f t="shared" si="828"/>
        <v>5.3917726328105903E-2</v>
      </c>
      <c r="U746" s="211">
        <f t="shared" si="828"/>
        <v>0.18389101224215851</v>
      </c>
      <c r="V746" s="211">
        <f t="shared" si="828"/>
        <v>0.45786550363452228</v>
      </c>
      <c r="W746" s="211">
        <f t="shared" si="828"/>
        <v>3.2206814016830017E-2</v>
      </c>
      <c r="X746" s="220">
        <f t="shared" ref="X746:X756" si="829">SUM(R746:W746)</f>
        <v>0.85422126355421968</v>
      </c>
      <c r="Z746" s="199"/>
      <c r="AA746" s="209" t="s">
        <v>239</v>
      </c>
      <c r="AB746" s="208"/>
      <c r="AJ746" s="68"/>
    </row>
    <row r="747" spans="1:43">
      <c r="A747" s="10" t="s">
        <v>19</v>
      </c>
      <c r="J747" s="197">
        <f t="shared" si="821"/>
        <v>0</v>
      </c>
      <c r="K747" s="197">
        <f t="shared" si="822"/>
        <v>24850.100599999998</v>
      </c>
      <c r="L747" s="197">
        <f t="shared" si="823"/>
        <v>0</v>
      </c>
      <c r="M747" s="197">
        <f t="shared" si="824"/>
        <v>84.223200000000006</v>
      </c>
      <c r="N747" s="197">
        <f t="shared" si="825"/>
        <v>229.73220000000001</v>
      </c>
      <c r="O747" s="197">
        <f t="shared" si="826"/>
        <v>414.05580000000003</v>
      </c>
      <c r="P747" s="212">
        <f t="shared" si="827"/>
        <v>25578.111799999995</v>
      </c>
      <c r="Q747" s="198"/>
      <c r="R747" s="211">
        <f t="shared" si="828"/>
        <v>0</v>
      </c>
      <c r="S747" s="211">
        <f t="shared" si="828"/>
        <v>1.4321861469516419</v>
      </c>
      <c r="T747" s="211">
        <f t="shared" si="828"/>
        <v>0</v>
      </c>
      <c r="U747" s="211">
        <f t="shared" si="828"/>
        <v>6.0711032483275204E-3</v>
      </c>
      <c r="V747" s="211">
        <f t="shared" si="828"/>
        <v>9.2116624102836914E-3</v>
      </c>
      <c r="W747" s="211">
        <f t="shared" si="828"/>
        <v>4.3274142824894146E-4</v>
      </c>
      <c r="X747" s="220">
        <f t="shared" si="829"/>
        <v>1.4479016540385021</v>
      </c>
      <c r="Z747" s="199">
        <f>AA747*AB747</f>
        <v>0</v>
      </c>
      <c r="AA747" s="232">
        <v>0</v>
      </c>
      <c r="AB747" s="273">
        <v>63.1</v>
      </c>
      <c r="AC747" s="217" t="s">
        <v>219</v>
      </c>
      <c r="AJ747" s="68"/>
    </row>
    <row r="748" spans="1:43">
      <c r="A748" s="10" t="s">
        <v>20</v>
      </c>
      <c r="J748" s="197">
        <f>IFERROR(J731*R731,"")</f>
        <v>410049.44401260006</v>
      </c>
      <c r="K748" s="197">
        <f t="shared" si="822"/>
        <v>5713.6694999999991</v>
      </c>
      <c r="L748" s="197">
        <f t="shared" si="823"/>
        <v>0</v>
      </c>
      <c r="M748" s="197">
        <f t="shared" si="824"/>
        <v>29817.856</v>
      </c>
      <c r="N748" s="197">
        <f t="shared" si="825"/>
        <v>60356.535000000003</v>
      </c>
      <c r="O748" s="197">
        <f t="shared" si="826"/>
        <v>78.44789999999999</v>
      </c>
      <c r="P748" s="212">
        <f t="shared" si="827"/>
        <v>506015.95241260016</v>
      </c>
      <c r="Q748" s="198"/>
      <c r="R748" s="211">
        <f t="shared" si="828"/>
        <v>38.811191654309333</v>
      </c>
      <c r="S748" s="211">
        <f t="shared" si="828"/>
        <v>0.32929598305771501</v>
      </c>
      <c r="T748" s="211">
        <f t="shared" si="828"/>
        <v>0</v>
      </c>
      <c r="U748" s="211">
        <f t="shared" si="828"/>
        <v>2.1493754977222692</v>
      </c>
      <c r="V748" s="211">
        <f t="shared" si="828"/>
        <v>2.4201397308451842</v>
      </c>
      <c r="W748" s="211">
        <f t="shared" si="828"/>
        <v>8.1988119207918657E-5</v>
      </c>
      <c r="X748" s="220">
        <f t="shared" si="829"/>
        <v>43.710084854053704</v>
      </c>
      <c r="Z748" s="199">
        <f>AA748*AB748</f>
        <v>614.78227192199995</v>
      </c>
      <c r="AA748" s="215">
        <v>6.5</v>
      </c>
      <c r="AB748" s="273">
        <v>94.581887987999991</v>
      </c>
      <c r="AC748" s="217" t="s">
        <v>222</v>
      </c>
      <c r="AJ748" s="68"/>
    </row>
    <row r="749" spans="1:43">
      <c r="A749" s="10" t="s">
        <v>21</v>
      </c>
      <c r="J749" s="197">
        <f t="shared" si="821"/>
        <v>0</v>
      </c>
      <c r="K749" s="197">
        <f t="shared" si="822"/>
        <v>228127.12319999997</v>
      </c>
      <c r="L749" s="197">
        <f t="shared" si="823"/>
        <v>0</v>
      </c>
      <c r="M749" s="197">
        <f t="shared" si="824"/>
        <v>79.835300000000004</v>
      </c>
      <c r="N749" s="197">
        <f t="shared" si="825"/>
        <v>17115.57504</v>
      </c>
      <c r="O749" s="197">
        <f t="shared" si="826"/>
        <v>110.20320000000001</v>
      </c>
      <c r="P749" s="212">
        <f t="shared" si="827"/>
        <v>245432.73673999996</v>
      </c>
      <c r="Q749" s="198"/>
      <c r="R749" s="211">
        <f t="shared" si="828"/>
        <v>0</v>
      </c>
      <c r="S749" s="211">
        <f t="shared" si="828"/>
        <v>13.147653236903617</v>
      </c>
      <c r="T749" s="211">
        <f t="shared" si="828"/>
        <v>0</v>
      </c>
      <c r="U749" s="211">
        <f t="shared" si="828"/>
        <v>5.7548080476780986E-3</v>
      </c>
      <c r="V749" s="211">
        <f t="shared" si="828"/>
        <v>0.68628994640872198</v>
      </c>
      <c r="W749" s="211">
        <f t="shared" si="828"/>
        <v>1.1517648144429748E-4</v>
      </c>
      <c r="X749" s="220">
        <f t="shared" si="829"/>
        <v>13.839813167841461</v>
      </c>
      <c r="Z749" s="199">
        <f>AA749*AB749</f>
        <v>4521.7975903718352</v>
      </c>
      <c r="AA749" s="231">
        <v>94.5</v>
      </c>
      <c r="AB749" s="273">
        <v>47.849709951024714</v>
      </c>
      <c r="AC749" s="217" t="s">
        <v>223</v>
      </c>
      <c r="AJ749" s="68" t="s">
        <v>289</v>
      </c>
    </row>
    <row r="750" spans="1:43">
      <c r="A750" s="10" t="s">
        <v>23</v>
      </c>
      <c r="J750" s="197">
        <f t="shared" si="821"/>
        <v>0</v>
      </c>
      <c r="K750" s="197">
        <f t="shared" si="822"/>
        <v>34.728200000000001</v>
      </c>
      <c r="L750" s="197">
        <f t="shared" si="823"/>
        <v>0</v>
      </c>
      <c r="M750" s="197">
        <f t="shared" si="824"/>
        <v>0</v>
      </c>
      <c r="N750" s="197">
        <f t="shared" si="825"/>
        <v>0</v>
      </c>
      <c r="O750" s="197">
        <f t="shared" si="826"/>
        <v>0</v>
      </c>
      <c r="P750" s="212">
        <f t="shared" si="827"/>
        <v>34.728200000000001</v>
      </c>
      <c r="Q750" s="198"/>
      <c r="R750" s="211">
        <f t="shared" si="828"/>
        <v>0</v>
      </c>
      <c r="S750" s="211">
        <f t="shared" si="828"/>
        <v>2.0014907685551187E-3</v>
      </c>
      <c r="T750" s="211">
        <f t="shared" si="828"/>
        <v>0</v>
      </c>
      <c r="U750" s="211">
        <f t="shared" si="828"/>
        <v>0</v>
      </c>
      <c r="V750" s="211">
        <f t="shared" si="828"/>
        <v>0</v>
      </c>
      <c r="W750" s="211">
        <f t="shared" si="828"/>
        <v>0</v>
      </c>
      <c r="X750" s="220">
        <f t="shared" si="829"/>
        <v>2.0014907685551187E-3</v>
      </c>
      <c r="Z750" s="199">
        <f t="shared" ref="Z750:Z762" si="830">AA750*AB750</f>
        <v>89743.515872065793</v>
      </c>
      <c r="AA750" s="215">
        <v>1036.9000000000001</v>
      </c>
      <c r="AB750" s="208">
        <v>86.549827246663881</v>
      </c>
      <c r="AC750" s="217" t="s">
        <v>236</v>
      </c>
    </row>
    <row r="751" spans="1:43">
      <c r="A751" s="11" t="s">
        <v>24</v>
      </c>
      <c r="J751" s="209">
        <f t="shared" ref="J751:O751" si="831">SUM(J752:J756)</f>
        <v>636.10120000000006</v>
      </c>
      <c r="K751" s="209">
        <f t="shared" si="831"/>
        <v>446019.1764</v>
      </c>
      <c r="L751" s="209">
        <f t="shared" si="831"/>
        <v>19031.260300000002</v>
      </c>
      <c r="M751" s="209">
        <f t="shared" si="831"/>
        <v>15573.815099999998</v>
      </c>
      <c r="N751" s="209">
        <f t="shared" si="831"/>
        <v>106042.32430000001</v>
      </c>
      <c r="O751" s="209">
        <f t="shared" si="831"/>
        <v>36056.581899999997</v>
      </c>
      <c r="P751" s="212">
        <f>SUM(J751:O751)</f>
        <v>623359.25919999997</v>
      </c>
      <c r="Q751" s="198"/>
      <c r="R751" s="209">
        <f t="shared" ref="R751:W751" si="832">SUM(R752:R756)</f>
        <v>6.0206996851768793E-2</v>
      </c>
      <c r="S751" s="209">
        <f t="shared" si="832"/>
        <v>25.705428561317802</v>
      </c>
      <c r="T751" s="209">
        <f t="shared" si="832"/>
        <v>3.5164946595210136</v>
      </c>
      <c r="U751" s="209">
        <f t="shared" si="832"/>
        <v>1.1226151398006983</v>
      </c>
      <c r="V751" s="209">
        <f t="shared" si="832"/>
        <v>4.2520207992324233</v>
      </c>
      <c r="W751" s="209">
        <f t="shared" si="832"/>
        <v>3.7683753612872781E-2</v>
      </c>
      <c r="X751" s="220">
        <f>SUM(R751:W751)</f>
        <v>34.69444991033658</v>
      </c>
      <c r="Z751" s="199">
        <f t="shared" si="830"/>
        <v>0</v>
      </c>
      <c r="AA751" s="215">
        <v>128.4</v>
      </c>
      <c r="AB751" s="208">
        <v>0</v>
      </c>
      <c r="AC751" s="216" t="s">
        <v>224</v>
      </c>
      <c r="AJ751" s="11" t="s">
        <v>24</v>
      </c>
      <c r="AK751" s="286">
        <f t="shared" ref="AK751:AK756" si="833">IFERROR(((J734/11.63)+J768)/J774,"")</f>
        <v>0.87022302802991691</v>
      </c>
      <c r="AL751" s="286">
        <f t="shared" ref="AL751:AL756" si="834">IFERROR(((K734/11.63)+K768)/K774,"")</f>
        <v>0.66454014045573939</v>
      </c>
      <c r="AM751" s="286">
        <f t="shared" ref="AM751:AM756" si="835">IFERROR(((L734/11.63)+L768)/L774,"")</f>
        <v>0.51000695559065667</v>
      </c>
      <c r="AN751" s="286">
        <f t="shared" ref="AN751:AN756" si="836">IFERROR(((M734/11.63)+M768)/M774,"")</f>
        <v>0.7679803578525175</v>
      </c>
      <c r="AO751" s="286">
        <f t="shared" ref="AO751:AO756" si="837">IFERROR(((N734/11.63)+N768)/N774,"")</f>
        <v>0.57770756998468664</v>
      </c>
      <c r="AP751" s="286">
        <f t="shared" ref="AP751:AP756" si="838">IFERROR(((O734/11.63)+O768)/O774,"")</f>
        <v>0.58657713559255098</v>
      </c>
      <c r="AQ751" s="286">
        <f t="shared" ref="AQ751:AQ756" si="839">IFERROR(((P734/11.63)+P768)/P774,"")</f>
        <v>0.64587672921807615</v>
      </c>
    </row>
    <row r="752" spans="1:43">
      <c r="A752" s="10" t="s">
        <v>25</v>
      </c>
      <c r="J752" s="197">
        <f t="shared" si="821"/>
        <v>0</v>
      </c>
      <c r="K752" s="197">
        <f t="shared" si="822"/>
        <v>40808.868799999997</v>
      </c>
      <c r="L752" s="197">
        <f t="shared" si="823"/>
        <v>979.30529999999987</v>
      </c>
      <c r="M752" s="197">
        <f t="shared" si="824"/>
        <v>213.01560000000001</v>
      </c>
      <c r="N752" s="197">
        <f t="shared" si="825"/>
        <v>14141.178</v>
      </c>
      <c r="O752" s="197">
        <f t="shared" si="826"/>
        <v>35790.493199999997</v>
      </c>
      <c r="P752" s="212">
        <f t="shared" si="827"/>
        <v>91932.8609</v>
      </c>
      <c r="Q752" s="198"/>
      <c r="R752" s="211">
        <f t="shared" ref="R752:W756" si="840">J752*J$760/1000000</f>
        <v>0</v>
      </c>
      <c r="S752" s="211">
        <f t="shared" si="840"/>
        <v>2.3519380266865832</v>
      </c>
      <c r="T752" s="211">
        <f t="shared" si="840"/>
        <v>0.18095080426652688</v>
      </c>
      <c r="U752" s="211">
        <f t="shared" si="840"/>
        <v>1.5354910536579419E-2</v>
      </c>
      <c r="V752" s="211">
        <f t="shared" si="840"/>
        <v>0.56702437803551575</v>
      </c>
      <c r="W752" s="211">
        <f t="shared" si="840"/>
        <v>3.7405656786119221E-2</v>
      </c>
      <c r="X752" s="220">
        <f t="shared" si="829"/>
        <v>3.1526737763113246</v>
      </c>
      <c r="Z752" s="199">
        <f t="shared" si="830"/>
        <v>0</v>
      </c>
      <c r="AA752" s="215">
        <v>759.5</v>
      </c>
      <c r="AB752" s="208">
        <v>0</v>
      </c>
      <c r="AC752" s="216" t="s">
        <v>225</v>
      </c>
      <c r="AJ752" s="10" t="s">
        <v>25</v>
      </c>
      <c r="AK752" s="56" t="str">
        <f t="shared" si="833"/>
        <v/>
      </c>
      <c r="AL752" s="56">
        <f t="shared" si="834"/>
        <v>0.73826951649430161</v>
      </c>
      <c r="AM752" s="56">
        <f t="shared" si="835"/>
        <v>0.60285413141763522</v>
      </c>
      <c r="AN752" s="56">
        <f t="shared" si="836"/>
        <v>0.63819545075696293</v>
      </c>
      <c r="AO752" s="56">
        <f t="shared" si="837"/>
        <v>0.62390110583494207</v>
      </c>
      <c r="AP752" s="56">
        <f t="shared" si="838"/>
        <v>0.58648405111583601</v>
      </c>
      <c r="AQ752" s="286">
        <f t="shared" si="839"/>
        <v>0.66697951685581713</v>
      </c>
    </row>
    <row r="753" spans="1:43">
      <c r="A753" s="10" t="s">
        <v>26</v>
      </c>
      <c r="J753" s="197">
        <f t="shared" si="821"/>
        <v>0</v>
      </c>
      <c r="K753" s="197">
        <f t="shared" si="822"/>
        <v>25396.096000000001</v>
      </c>
      <c r="L753" s="197">
        <f t="shared" si="823"/>
        <v>0.93820000000000003</v>
      </c>
      <c r="M753" s="197">
        <f t="shared" si="824"/>
        <v>2035.1380000000001</v>
      </c>
      <c r="N753" s="197">
        <f t="shared" si="825"/>
        <v>112.87759999999999</v>
      </c>
      <c r="O753" s="197">
        <f t="shared" si="826"/>
        <v>32.587800000000001</v>
      </c>
      <c r="P753" s="212">
        <f t="shared" si="827"/>
        <v>27577.637600000002</v>
      </c>
      <c r="Q753" s="198"/>
      <c r="R753" s="211">
        <f t="shared" si="840"/>
        <v>0</v>
      </c>
      <c r="S753" s="211">
        <f t="shared" si="840"/>
        <v>1.4636535064109162</v>
      </c>
      <c r="T753" s="211">
        <f>L753*L$760/1000000</f>
        <v>1.7335558641708114E-4</v>
      </c>
      <c r="U753" s="211">
        <f t="shared" si="840"/>
        <v>0.14669987512460669</v>
      </c>
      <c r="V753" s="211">
        <f t="shared" si="840"/>
        <v>4.5260975382773435E-3</v>
      </c>
      <c r="W753" s="211">
        <f t="shared" si="840"/>
        <v>3.4058431533843637E-5</v>
      </c>
      <c r="X753" s="220">
        <f t="shared" si="829"/>
        <v>1.6150868930917512</v>
      </c>
      <c r="Z753" s="199">
        <f t="shared" si="830"/>
        <v>0</v>
      </c>
      <c r="AA753" s="215">
        <v>0.2</v>
      </c>
      <c r="AB753" s="208">
        <v>0</v>
      </c>
      <c r="AC753" s="216" t="s">
        <v>148</v>
      </c>
      <c r="AJ753" s="10" t="s">
        <v>26</v>
      </c>
      <c r="AK753" s="56" t="str">
        <f t="shared" si="833"/>
        <v/>
      </c>
      <c r="AL753" s="56">
        <f t="shared" si="834"/>
        <v>0.74434388198092727</v>
      </c>
      <c r="AM753" s="56" t="str">
        <f t="shared" si="835"/>
        <v/>
      </c>
      <c r="AN753" s="56">
        <f t="shared" si="836"/>
        <v>0.82429103085400302</v>
      </c>
      <c r="AO753" s="56">
        <f t="shared" si="837"/>
        <v>0.72847099286834249</v>
      </c>
      <c r="AP753" s="56">
        <f t="shared" si="838"/>
        <v>0.68652499692912416</v>
      </c>
      <c r="AQ753" s="286">
        <f t="shared" si="839"/>
        <v>0.75138255345615113</v>
      </c>
    </row>
    <row r="754" spans="1:43">
      <c r="A754" s="10" t="s">
        <v>27</v>
      </c>
      <c r="J754" s="197">
        <f>IFERROR(J737*R737,"")</f>
        <v>576.31560000000002</v>
      </c>
      <c r="K754" s="197">
        <f t="shared" si="822"/>
        <v>368172.02099999995</v>
      </c>
      <c r="L754" s="197">
        <f t="shared" si="823"/>
        <v>7404.6827999999996</v>
      </c>
      <c r="M754" s="197">
        <f t="shared" si="824"/>
        <v>9511.5761999999995</v>
      </c>
      <c r="N754" s="197">
        <f t="shared" si="825"/>
        <v>44601.823499999999</v>
      </c>
      <c r="O754" s="197">
        <f t="shared" si="826"/>
        <v>210.06209999999999</v>
      </c>
      <c r="P754" s="212">
        <f t="shared" si="827"/>
        <v>430476.48119999992</v>
      </c>
      <c r="Q754" s="198"/>
      <c r="R754" s="211">
        <f t="shared" si="840"/>
        <v>5.4548288094449816E-2</v>
      </c>
      <c r="S754" s="211">
        <f t="shared" si="840"/>
        <v>21.218862517256326</v>
      </c>
      <c r="T754" s="211">
        <f t="shared" si="840"/>
        <v>1.3681977499749243</v>
      </c>
      <c r="U754" s="211">
        <f t="shared" si="840"/>
        <v>0.68562772685595796</v>
      </c>
      <c r="V754" s="211">
        <f t="shared" si="840"/>
        <v>1.788416865224195</v>
      </c>
      <c r="W754" s="211">
        <f t="shared" si="840"/>
        <v>2.1954184236755518E-4</v>
      </c>
      <c r="X754" s="220">
        <f t="shared" si="829"/>
        <v>25.115872689248221</v>
      </c>
      <c r="Z754" s="199">
        <f t="shared" si="830"/>
        <v>0</v>
      </c>
      <c r="AA754" s="215">
        <v>1.8</v>
      </c>
      <c r="AB754" s="208">
        <v>0</v>
      </c>
      <c r="AC754" s="216" t="s">
        <v>142</v>
      </c>
      <c r="AJ754" s="10" t="s">
        <v>27</v>
      </c>
      <c r="AK754" s="56">
        <f t="shared" si="833"/>
        <v>0.87956772946921213</v>
      </c>
      <c r="AL754" s="56">
        <f t="shared" si="834"/>
        <v>0.64212144142614647</v>
      </c>
      <c r="AM754" s="56">
        <f t="shared" si="835"/>
        <v>0.5206694480905677</v>
      </c>
      <c r="AN754" s="56">
        <f t="shared" si="836"/>
        <v>0.73150972228179056</v>
      </c>
      <c r="AO754" s="56">
        <f t="shared" si="837"/>
        <v>0.63085883763751915</v>
      </c>
      <c r="AP754" s="56">
        <f t="shared" si="838"/>
        <v>0.56452869733447963</v>
      </c>
      <c r="AQ754" s="286">
        <f t="shared" si="839"/>
        <v>0.64306705553669807</v>
      </c>
    </row>
    <row r="755" spans="1:43">
      <c r="A755" s="10" t="s">
        <v>28</v>
      </c>
      <c r="J755" s="197">
        <f t="shared" si="821"/>
        <v>59.785600000000002</v>
      </c>
      <c r="K755" s="197">
        <f t="shared" si="822"/>
        <v>3789.0383999999995</v>
      </c>
      <c r="L755" s="197">
        <f t="shared" si="823"/>
        <v>0</v>
      </c>
      <c r="M755" s="197">
        <f t="shared" si="824"/>
        <v>829.66499999999996</v>
      </c>
      <c r="N755" s="197">
        <f t="shared" si="825"/>
        <v>3553.6512000000002</v>
      </c>
      <c r="O755" s="197">
        <f t="shared" si="826"/>
        <v>2.8488000000000002</v>
      </c>
      <c r="P755" s="212">
        <f t="shared" si="827"/>
        <v>8234.9889999999996</v>
      </c>
      <c r="Q755" s="198"/>
      <c r="R755" s="211">
        <f t="shared" si="840"/>
        <v>5.6587087573189742E-3</v>
      </c>
      <c r="S755" s="211">
        <f t="shared" si="840"/>
        <v>0.21837369570841147</v>
      </c>
      <c r="T755" s="211">
        <f t="shared" si="840"/>
        <v>0</v>
      </c>
      <c r="U755" s="211">
        <f t="shared" si="840"/>
        <v>5.9805159107272715E-2</v>
      </c>
      <c r="V755" s="211">
        <f t="shared" si="840"/>
        <v>0.14249215033112267</v>
      </c>
      <c r="W755" s="211">
        <f t="shared" si="840"/>
        <v>2.977361459000416E-6</v>
      </c>
      <c r="X755" s="220">
        <f t="shared" si="829"/>
        <v>0.42633269126558482</v>
      </c>
      <c r="Z755" s="199">
        <f t="shared" si="830"/>
        <v>0</v>
      </c>
      <c r="AA755" s="215">
        <v>0</v>
      </c>
      <c r="AB755" s="208">
        <v>0</v>
      </c>
      <c r="AC755" s="216" t="s">
        <v>145</v>
      </c>
      <c r="AJ755" s="10" t="s">
        <v>28</v>
      </c>
      <c r="AK755" s="56">
        <f t="shared" si="833"/>
        <v>0.82836494389687543</v>
      </c>
      <c r="AL755" s="56">
        <f t="shared" si="834"/>
        <v>0.8471956737928017</v>
      </c>
      <c r="AM755" s="56" t="str">
        <f t="shared" si="835"/>
        <v/>
      </c>
      <c r="AN755" s="56">
        <f t="shared" si="836"/>
        <v>0.88924693616991879</v>
      </c>
      <c r="AO755" s="56">
        <f t="shared" si="837"/>
        <v>0.76985627026969161</v>
      </c>
      <c r="AP755" s="56">
        <f t="shared" si="838"/>
        <v>0.83863571223846378</v>
      </c>
      <c r="AQ755" s="286">
        <f t="shared" si="839"/>
        <v>0.83478602236006916</v>
      </c>
    </row>
    <row r="756" spans="1:43">
      <c r="A756" s="10" t="s">
        <v>29</v>
      </c>
      <c r="J756" s="197">
        <f t="shared" si="821"/>
        <v>0</v>
      </c>
      <c r="K756" s="197">
        <f t="shared" si="822"/>
        <v>7853.1521999999995</v>
      </c>
      <c r="L756" s="197">
        <f t="shared" si="823"/>
        <v>10646.334000000001</v>
      </c>
      <c r="M756" s="197">
        <f t="shared" si="824"/>
        <v>2984.4202999999998</v>
      </c>
      <c r="N756" s="197">
        <f t="shared" si="825"/>
        <v>43632.794000000002</v>
      </c>
      <c r="O756" s="197">
        <f t="shared" si="826"/>
        <v>20.59</v>
      </c>
      <c r="P756" s="212">
        <f t="shared" si="827"/>
        <v>65137.290499999996</v>
      </c>
      <c r="Q756" s="198"/>
      <c r="R756" s="211">
        <f t="shared" si="840"/>
        <v>0</v>
      </c>
      <c r="S756" s="211">
        <f t="shared" si="840"/>
        <v>0.45260081525556523</v>
      </c>
      <c r="T756" s="211">
        <f t="shared" si="840"/>
        <v>1.9671727496931455</v>
      </c>
      <c r="U756" s="211">
        <f t="shared" si="840"/>
        <v>0.21512746817628148</v>
      </c>
      <c r="V756" s="211">
        <f t="shared" si="840"/>
        <v>1.7495613081033126</v>
      </c>
      <c r="W756" s="211">
        <f t="shared" si="840"/>
        <v>2.1519191393154507E-5</v>
      </c>
      <c r="X756" s="220">
        <f t="shared" si="829"/>
        <v>4.3844838604196985</v>
      </c>
      <c r="Z756" s="199">
        <f t="shared" si="830"/>
        <v>0</v>
      </c>
      <c r="AA756" s="215">
        <v>15.5</v>
      </c>
      <c r="AB756" s="208">
        <v>0</v>
      </c>
      <c r="AC756" s="216" t="s">
        <v>143</v>
      </c>
      <c r="AJ756" s="10" t="s">
        <v>29</v>
      </c>
      <c r="AK756" s="56" t="str">
        <f t="shared" si="833"/>
        <v/>
      </c>
      <c r="AL756" s="56">
        <f t="shared" si="834"/>
        <v>0.58995780338929105</v>
      </c>
      <c r="AM756" s="56">
        <f t="shared" si="835"/>
        <v>0.49368358990237465</v>
      </c>
      <c r="AN756" s="56">
        <f t="shared" si="836"/>
        <v>0.72233124443599084</v>
      </c>
      <c r="AO756" s="56">
        <f t="shared" si="837"/>
        <v>0.49753929313502948</v>
      </c>
      <c r="AP756" s="56">
        <f t="shared" si="838"/>
        <v>0.61088095051981539</v>
      </c>
      <c r="AQ756" s="286">
        <f t="shared" si="839"/>
        <v>0.52495595405827522</v>
      </c>
    </row>
    <row r="757" spans="1:43">
      <c r="A757" s="11" t="s">
        <v>10</v>
      </c>
      <c r="J757" s="212">
        <f t="shared" ref="J757:P757" si="841">J745+J751</f>
        <v>410685.54521260003</v>
      </c>
      <c r="K757" s="212">
        <f t="shared" si="841"/>
        <v>706936.94790000003</v>
      </c>
      <c r="L757" s="212">
        <f t="shared" si="841"/>
        <v>19323.062900000001</v>
      </c>
      <c r="M757" s="212">
        <f t="shared" si="841"/>
        <v>48106.8128</v>
      </c>
      <c r="N757" s="212">
        <f t="shared" si="841"/>
        <v>195163.00114000001</v>
      </c>
      <c r="O757" s="212">
        <f t="shared" si="841"/>
        <v>67475.423500000004</v>
      </c>
      <c r="P757" s="212">
        <f t="shared" si="841"/>
        <v>1447690.7934526</v>
      </c>
      <c r="R757" s="229">
        <f t="shared" ref="R757:X757" si="842">R745+R751</f>
        <v>38.871398651161101</v>
      </c>
      <c r="S757" s="229">
        <f t="shared" si="842"/>
        <v>40.742905626331932</v>
      </c>
      <c r="T757" s="229">
        <f t="shared" si="842"/>
        <v>3.5704123858491195</v>
      </c>
      <c r="U757" s="229">
        <f t="shared" si="842"/>
        <v>3.4677075610611316</v>
      </c>
      <c r="V757" s="229">
        <f t="shared" si="842"/>
        <v>7.8255276425311351</v>
      </c>
      <c r="W757" s="229">
        <f t="shared" si="842"/>
        <v>7.0520473658603949E-2</v>
      </c>
      <c r="X757" s="229">
        <f t="shared" si="842"/>
        <v>94.548472340593023</v>
      </c>
      <c r="Z757" s="199">
        <f t="shared" si="830"/>
        <v>0</v>
      </c>
      <c r="AA757" s="215">
        <v>1113.3</v>
      </c>
      <c r="AB757" s="208">
        <v>0</v>
      </c>
      <c r="AC757" s="216" t="s">
        <v>231</v>
      </c>
      <c r="AJ757" s="308" t="s">
        <v>290</v>
      </c>
      <c r="AK757" s="307">
        <f t="shared" ref="AK757:AQ757" si="843">IFERROR(((J740/11.63)+J768)/(J774+J745/41.868),"")</f>
        <v>0.38133682720839795</v>
      </c>
      <c r="AL757" s="307">
        <f t="shared" si="843"/>
        <v>0.62246607781796737</v>
      </c>
      <c r="AM757" s="307">
        <f t="shared" si="843"/>
        <v>0.50869615594360573</v>
      </c>
      <c r="AN757" s="307">
        <f t="shared" si="843"/>
        <v>0.57944885656011991</v>
      </c>
      <c r="AO757" s="307">
        <f t="shared" si="843"/>
        <v>0.48429860872041863</v>
      </c>
      <c r="AP757" s="307">
        <f t="shared" si="843"/>
        <v>0.49808494149998339</v>
      </c>
      <c r="AQ757" s="307">
        <f t="shared" si="843"/>
        <v>0.53438762496282788</v>
      </c>
    </row>
    <row r="758" spans="1:43">
      <c r="E758" t="s">
        <v>200</v>
      </c>
      <c r="J758" s="198">
        <f t="shared" ref="J758:P758" si="844">J757/41.868</f>
        <v>9809.0557278255474</v>
      </c>
      <c r="K758" s="198">
        <f t="shared" si="844"/>
        <v>16884.898918028088</v>
      </c>
      <c r="L758" s="198">
        <f t="shared" si="844"/>
        <v>461.52342839400018</v>
      </c>
      <c r="M758" s="198">
        <f t="shared" si="844"/>
        <v>1149.0114837107099</v>
      </c>
      <c r="N758" s="198">
        <f t="shared" si="844"/>
        <v>4661.388199579631</v>
      </c>
      <c r="O758" s="198">
        <f t="shared" si="844"/>
        <v>1611.6228026177509</v>
      </c>
      <c r="P758" s="198">
        <f t="shared" si="844"/>
        <v>34577.500560155728</v>
      </c>
      <c r="R758" s="227">
        <v>38.871398651161101</v>
      </c>
      <c r="S758" s="227">
        <v>40.742905626331918</v>
      </c>
      <c r="T758" s="227">
        <v>3.55397082224912</v>
      </c>
      <c r="U758" s="227">
        <v>3.4677075610611303</v>
      </c>
      <c r="V758" s="227">
        <v>7.8255276059839591</v>
      </c>
      <c r="W758" s="227">
        <v>7.0520473658603991E-2</v>
      </c>
      <c r="X758" s="227">
        <v>94.548472304045845</v>
      </c>
      <c r="Z758" s="199">
        <f t="shared" si="830"/>
        <v>8642.3669466666652</v>
      </c>
      <c r="AA758" s="215">
        <v>176.9</v>
      </c>
      <c r="AB758" s="208">
        <v>48.854533333333322</v>
      </c>
      <c r="AC758" s="219" t="s">
        <v>144</v>
      </c>
    </row>
    <row r="759" spans="1:43">
      <c r="J759" s="213" t="s">
        <v>217</v>
      </c>
      <c r="T759" s="228">
        <v>1.64415636E-2</v>
      </c>
      <c r="U759" s="228"/>
      <c r="Z759" s="199">
        <f t="shared" si="830"/>
        <v>0</v>
      </c>
      <c r="AA759" s="215">
        <v>28.5</v>
      </c>
      <c r="AB759" s="208">
        <v>0</v>
      </c>
      <c r="AC759" s="216" t="s">
        <v>146</v>
      </c>
    </row>
    <row r="760" spans="1:43">
      <c r="J760" s="198">
        <f>SUM(Z729:Z732)/SUM(AA729:AA732)+J761</f>
        <v>94.650028724625557</v>
      </c>
      <c r="K760" s="215">
        <f>57.2062847696618+K761</f>
        <v>57.633012035035463</v>
      </c>
      <c r="L760" s="177">
        <f>SUM(Z734:Z737)/SUM(AA734:AA737)+L761</f>
        <v>184.77466043176415</v>
      </c>
      <c r="M760" s="198">
        <f>SUM(Z739:Z745)/SUM(AA739:AA745)+M761</f>
        <v>72.083502506762031</v>
      </c>
      <c r="N760" s="198">
        <f>SUM(Z747:Z762)/SUM(AA747:AA762)+N761</f>
        <v>40.097393444557149</v>
      </c>
      <c r="O760" s="198">
        <f>SUM(Z764:Z773)/SUM(AA764:AA773)+O761</f>
        <v>1.0451282852430552</v>
      </c>
      <c r="P760" s="363">
        <f>P751/41.868</f>
        <v>14888.680118467564</v>
      </c>
      <c r="Z760" s="199">
        <f t="shared" si="830"/>
        <v>4075.5</v>
      </c>
      <c r="AA760" s="215">
        <v>28.5</v>
      </c>
      <c r="AB760" s="208">
        <v>143</v>
      </c>
      <c r="AC760" s="216" t="s">
        <v>147</v>
      </c>
    </row>
    <row r="761" spans="1:43">
      <c r="A761" s="504" t="s">
        <v>415</v>
      </c>
      <c r="B761" s="503"/>
      <c r="C761" s="503"/>
      <c r="D761" s="503"/>
      <c r="E761" s="503"/>
      <c r="F761" s="503"/>
      <c r="G761" s="503"/>
      <c r="H761" s="503"/>
      <c r="I761" s="503"/>
      <c r="J761" s="503">
        <v>-3.6918141484892919E-4</v>
      </c>
      <c r="K761" s="503">
        <v>0.42672726537366057</v>
      </c>
      <c r="L761" s="503">
        <v>-9.3802243679960151E-3</v>
      </c>
      <c r="M761" s="503">
        <v>-6.0701303641528259E-3</v>
      </c>
      <c r="N761" s="503">
        <v>4.5141564332027482</v>
      </c>
      <c r="O761" s="503">
        <v>-2.0403139441047546E-3</v>
      </c>
      <c r="P761" s="364">
        <f>P745/41.868</f>
        <v>19688.820441688164</v>
      </c>
      <c r="R761" s="506">
        <f>R757-R758</f>
        <v>0</v>
      </c>
      <c r="S761" s="506">
        <f>S757-S758</f>
        <v>0</v>
      </c>
      <c r="T761" s="506">
        <f>T757-SUM(T758:T759)</f>
        <v>0</v>
      </c>
      <c r="U761" s="506">
        <f>U757-U758</f>
        <v>0</v>
      </c>
      <c r="V761" s="506">
        <f>V757-V758</f>
        <v>3.6547175952250655E-8</v>
      </c>
      <c r="W761" s="506">
        <f>W757-W758</f>
        <v>0</v>
      </c>
      <c r="X761" s="202">
        <f>X757-X758</f>
        <v>3.6547177728607494E-8</v>
      </c>
      <c r="Z761" s="199">
        <f t="shared" si="830"/>
        <v>0</v>
      </c>
      <c r="AA761" s="215">
        <v>0</v>
      </c>
      <c r="AB761" s="208">
        <v>45.85</v>
      </c>
      <c r="AC761" s="216" t="s">
        <v>232</v>
      </c>
    </row>
    <row r="762" spans="1:43">
      <c r="N762" s="198"/>
      <c r="P762" s="365">
        <f>P774-P760</f>
        <v>5765.6198815324315</v>
      </c>
      <c r="Z762" s="199">
        <f t="shared" si="830"/>
        <v>58266.18</v>
      </c>
      <c r="AA762" s="215">
        <v>1270.8</v>
      </c>
      <c r="AB762" s="208">
        <v>45.85</v>
      </c>
      <c r="AC762" s="216" t="s">
        <v>233</v>
      </c>
      <c r="AJ762" s="68" t="s">
        <v>381</v>
      </c>
      <c r="AK762" s="210" t="s">
        <v>5</v>
      </c>
      <c r="AL762" s="210" t="s">
        <v>210</v>
      </c>
      <c r="AM762" s="210" t="s">
        <v>211</v>
      </c>
      <c r="AN762" s="210" t="s">
        <v>214</v>
      </c>
      <c r="AO762" s="210" t="s">
        <v>216</v>
      </c>
      <c r="AP762" s="210" t="s">
        <v>215</v>
      </c>
      <c r="AQ762" s="210" t="s">
        <v>213</v>
      </c>
    </row>
    <row r="763" spans="1:43">
      <c r="L763" s="253"/>
      <c r="M763" s="330"/>
      <c r="N763" s="252"/>
      <c r="O763" s="198"/>
      <c r="P763" s="202"/>
      <c r="V763" s="90"/>
      <c r="AA763" s="209" t="s">
        <v>240</v>
      </c>
      <c r="AB763" s="208"/>
      <c r="AE763" s="198"/>
      <c r="AJ763" s="11" t="s">
        <v>24</v>
      </c>
      <c r="AK763" s="229">
        <f t="shared" ref="AK763:AK768" si="845">IFERROR(J768/(J774-J751/41.868),0)</f>
        <v>0.88833260302899331</v>
      </c>
      <c r="AL763" s="229">
        <f t="shared" ref="AL763:AL768" si="846">IFERROR(K768/(K774-K751/41.868),0)</f>
        <v>0.89221022858945953</v>
      </c>
      <c r="AM763" s="229">
        <f t="shared" ref="AM763:AM768" si="847">IFERROR(L768/(L774-L751/41.868),0)</f>
        <v>0.90114955834645971</v>
      </c>
      <c r="AN763" s="229">
        <f t="shared" ref="AN763:AN768" si="848">IFERROR(M768/(M774-M751/41.868),0)</f>
        <v>0.90532907801133833</v>
      </c>
      <c r="AO763" s="229">
        <f t="shared" ref="AO763:AO768" si="849">IFERROR(N768/(N774-N751/41.868),0)</f>
        <v>0.84825657123172449</v>
      </c>
      <c r="AP763" s="229">
        <f t="shared" ref="AP763:AP768" si="850">IFERROR(O768/(O774-O751/41.868),0)</f>
        <v>0.87544370607056943</v>
      </c>
      <c r="AQ763" s="229">
        <f t="shared" ref="AQ763:AQ768" si="851">IFERROR(P768/(P774-P751/41.868),0)</f>
        <v>0.88392923999794448</v>
      </c>
    </row>
    <row r="764" spans="1:43">
      <c r="J764" s="202"/>
      <c r="M764" s="330"/>
      <c r="N764" s="330"/>
      <c r="O764" s="198"/>
      <c r="P764" s="198"/>
      <c r="V764" s="90"/>
      <c r="Z764" s="199">
        <f>AA764*AB764</f>
        <v>1687.7216313099455</v>
      </c>
      <c r="AA764" s="215">
        <v>19.5</v>
      </c>
      <c r="AB764" s="273">
        <v>86.549827246663867</v>
      </c>
      <c r="AC764" s="217" t="s">
        <v>221</v>
      </c>
      <c r="AJ764" s="10" t="s">
        <v>25</v>
      </c>
      <c r="AK764" s="428">
        <f t="shared" si="845"/>
        <v>0</v>
      </c>
      <c r="AL764" s="428">
        <f t="shared" si="846"/>
        <v>0.8958859383929958</v>
      </c>
      <c r="AM764" s="428">
        <f t="shared" si="847"/>
        <v>0.90673807849085963</v>
      </c>
      <c r="AN764" s="428">
        <f t="shared" si="848"/>
        <v>0.85809393404439238</v>
      </c>
      <c r="AO764" s="428">
        <f t="shared" si="849"/>
        <v>0.87471615760425947</v>
      </c>
      <c r="AP764" s="428">
        <f t="shared" si="850"/>
        <v>0.87497074848115652</v>
      </c>
      <c r="AQ764" s="428">
        <f t="shared" si="851"/>
        <v>0.88724664696189004</v>
      </c>
    </row>
    <row r="765" spans="1:43">
      <c r="A765" s="68" t="s">
        <v>413</v>
      </c>
      <c r="J765" s="314">
        <f>J768/(J774-J751/41.868)</f>
        <v>0.88833260302899331</v>
      </c>
      <c r="K765" s="314">
        <f t="shared" ref="K765:P765" si="852">K768/(K774-K751/41.868)</f>
        <v>0.89221022858945953</v>
      </c>
      <c r="L765" s="314">
        <f t="shared" si="852"/>
        <v>0.90114955834645971</v>
      </c>
      <c r="M765" s="314">
        <f t="shared" si="852"/>
        <v>0.90532907801133833</v>
      </c>
      <c r="N765" s="314">
        <f t="shared" si="852"/>
        <v>0.84825657123172449</v>
      </c>
      <c r="O765" s="314">
        <f t="shared" si="852"/>
        <v>0.87544370607056943</v>
      </c>
      <c r="P765" s="314">
        <f t="shared" si="852"/>
        <v>0.88392923999794448</v>
      </c>
      <c r="Z765" s="199">
        <f>AA765*AB765</f>
        <v>0</v>
      </c>
      <c r="AA765" s="215">
        <v>1018.8</v>
      </c>
      <c r="AB765" s="208">
        <v>0</v>
      </c>
      <c r="AC765" s="216" t="s">
        <v>226</v>
      </c>
      <c r="AJ765" s="10" t="s">
        <v>26</v>
      </c>
      <c r="AK765" s="428">
        <f t="shared" si="845"/>
        <v>0</v>
      </c>
      <c r="AL765" s="428">
        <f t="shared" si="846"/>
        <v>0.89615622236461423</v>
      </c>
      <c r="AM765" s="428">
        <f t="shared" si="847"/>
        <v>0</v>
      </c>
      <c r="AN765" s="428">
        <f t="shared" si="848"/>
        <v>0.90112957732923171</v>
      </c>
      <c r="AO765" s="428">
        <f t="shared" si="849"/>
        <v>0.87870966467544886</v>
      </c>
      <c r="AP765" s="428">
        <f t="shared" si="850"/>
        <v>0.965167477350792</v>
      </c>
      <c r="AQ765" s="428">
        <f t="shared" si="851"/>
        <v>0.89662622829667071</v>
      </c>
    </row>
    <row r="766" spans="1:43">
      <c r="A766" s="68" t="s">
        <v>276</v>
      </c>
      <c r="P766" s="198"/>
      <c r="R766" s="221" t="s">
        <v>235</v>
      </c>
      <c r="S766" s="195"/>
      <c r="T766" s="195"/>
      <c r="U766" s="195"/>
      <c r="V766" s="195"/>
      <c r="W766" s="195"/>
      <c r="X766" s="195"/>
      <c r="Z766" s="199"/>
      <c r="AA766" s="215">
        <v>0</v>
      </c>
      <c r="AB766" s="208">
        <v>0</v>
      </c>
      <c r="AC766" s="216" t="s">
        <v>227</v>
      </c>
      <c r="AJ766" s="10" t="s">
        <v>27</v>
      </c>
      <c r="AK766" s="428">
        <f t="shared" si="845"/>
        <v>0.90021158583048322</v>
      </c>
      <c r="AL766" s="428">
        <f t="shared" si="846"/>
        <v>0.88942997531375245</v>
      </c>
      <c r="AM766" s="428">
        <f t="shared" si="847"/>
        <v>0.90055570176326438</v>
      </c>
      <c r="AN766" s="428">
        <f t="shared" si="848"/>
        <v>0.90462265247456775</v>
      </c>
      <c r="AO766" s="428">
        <f t="shared" si="849"/>
        <v>0.78001219544369993</v>
      </c>
      <c r="AP766" s="428">
        <f t="shared" si="850"/>
        <v>0.94015348979412017</v>
      </c>
      <c r="AQ766" s="428">
        <f t="shared" si="851"/>
        <v>0.88086602984845497</v>
      </c>
    </row>
    <row r="767" spans="1:43">
      <c r="A767" s="68" t="str">
        <f>$A$726</f>
        <v>Dati 2015 lorda</v>
      </c>
      <c r="J767" s="210" t="s">
        <v>5</v>
      </c>
      <c r="K767" s="210" t="s">
        <v>210</v>
      </c>
      <c r="L767" s="210" t="s">
        <v>211</v>
      </c>
      <c r="M767" s="210" t="s">
        <v>214</v>
      </c>
      <c r="N767" s="210" t="s">
        <v>216</v>
      </c>
      <c r="O767" s="210" t="s">
        <v>215</v>
      </c>
      <c r="P767" s="210" t="s">
        <v>213</v>
      </c>
      <c r="R767" s="221" t="s">
        <v>5</v>
      </c>
      <c r="S767" s="221" t="s">
        <v>210</v>
      </c>
      <c r="T767" s="221" t="s">
        <v>211</v>
      </c>
      <c r="U767" s="221" t="s">
        <v>214</v>
      </c>
      <c r="V767" s="221" t="s">
        <v>216</v>
      </c>
      <c r="W767" s="221" t="s">
        <v>215</v>
      </c>
      <c r="X767" s="221" t="s">
        <v>213</v>
      </c>
      <c r="Z767" s="199">
        <f>AA767*AB767</f>
        <v>0</v>
      </c>
      <c r="AA767" s="215">
        <v>201.6</v>
      </c>
      <c r="AB767" s="208">
        <v>0</v>
      </c>
      <c r="AC767" s="216" t="s">
        <v>150</v>
      </c>
      <c r="AJ767" s="10" t="s">
        <v>28</v>
      </c>
      <c r="AK767" s="428">
        <f t="shared" si="845"/>
        <v>0.84332474219882325</v>
      </c>
      <c r="AL767" s="428">
        <f t="shared" si="846"/>
        <v>0.89478429517565461</v>
      </c>
      <c r="AM767" s="428">
        <f t="shared" si="847"/>
        <v>0</v>
      </c>
      <c r="AN767" s="428">
        <f t="shared" si="848"/>
        <v>0.90496594617869075</v>
      </c>
      <c r="AO767" s="428">
        <f t="shared" si="849"/>
        <v>0.89601334885707185</v>
      </c>
      <c r="AP767" s="428">
        <f t="shared" si="850"/>
        <v>0.86222661559372304</v>
      </c>
      <c r="AQ767" s="428">
        <f t="shared" si="851"/>
        <v>0.89693045756131107</v>
      </c>
    </row>
    <row r="768" spans="1:43">
      <c r="A768" s="223" t="s">
        <v>275</v>
      </c>
      <c r="J768" s="209">
        <f t="shared" ref="J768:O768" si="853">SUM(J769:J773)</f>
        <v>45.4</v>
      </c>
      <c r="K768" s="209">
        <f t="shared" si="853"/>
        <v>3234.9</v>
      </c>
      <c r="L768" s="209">
        <f t="shared" si="853"/>
        <v>100.7</v>
      </c>
      <c r="M768" s="209">
        <f t="shared" si="853"/>
        <v>507.1</v>
      </c>
      <c r="N768" s="209">
        <f t="shared" si="853"/>
        <v>1002.7</v>
      </c>
      <c r="O768" s="209">
        <f t="shared" si="853"/>
        <v>205.6</v>
      </c>
      <c r="P768" s="298">
        <f t="shared" ref="P768:P779" si="854">SUM(J768:O768)</f>
        <v>5096.4000000000005</v>
      </c>
      <c r="Q768" s="223" t="s">
        <v>17</v>
      </c>
      <c r="R768" s="222">
        <f t="shared" ref="R768:R779" si="855">IFERROR(R745/J728*1000000,0)</f>
        <v>901.36377084811363</v>
      </c>
      <c r="S768" s="222">
        <f t="shared" ref="S768:S779" si="856">IFERROR(S745/K728*1000000,0)</f>
        <v>394.39769681921894</v>
      </c>
      <c r="T768" s="222">
        <f t="shared" ref="T768:T779" si="857">IFERROR(T745/L728*1000000,0)</f>
        <v>1653.9179855247207</v>
      </c>
      <c r="U768" s="222">
        <f t="shared" ref="U768:U779" si="858">IFERROR(U745/M728*1000000,0)</f>
        <v>734.51699854682022</v>
      </c>
      <c r="V768" s="222">
        <f t="shared" ref="V768:V779" si="859">IFERROR(V745/N728*1000000,0)</f>
        <v>449.29652172092898</v>
      </c>
      <c r="W768" s="222">
        <f t="shared" ref="W768:W779" si="860">IFERROR(W745/O728*1000000,0)</f>
        <v>10.200907128217203</v>
      </c>
      <c r="X768" s="222">
        <f>IFERROR(X745/P728*1000000,0)</f>
        <v>626.19382006812077</v>
      </c>
      <c r="Z768" s="199">
        <f>AA768*AB768</f>
        <v>0</v>
      </c>
      <c r="AA768" s="215">
        <v>23.9</v>
      </c>
      <c r="AB768" s="208">
        <v>0</v>
      </c>
      <c r="AC768" s="216" t="s">
        <v>151</v>
      </c>
      <c r="AJ768" s="10" t="s">
        <v>29</v>
      </c>
      <c r="AK768" s="428">
        <f t="shared" si="845"/>
        <v>0</v>
      </c>
      <c r="AL768" s="428">
        <f t="shared" si="846"/>
        <v>0.90145692291697754</v>
      </c>
      <c r="AM768" s="428">
        <f t="shared" si="847"/>
        <v>0.9005422954463973</v>
      </c>
      <c r="AN768" s="428">
        <f t="shared" si="848"/>
        <v>0.91060047095655794</v>
      </c>
      <c r="AO768" s="428">
        <f t="shared" si="849"/>
        <v>0.85901672069519874</v>
      </c>
      <c r="AP768" s="428">
        <f t="shared" si="850"/>
        <v>0.82207596368320179</v>
      </c>
      <c r="AQ768" s="428">
        <f t="shared" si="851"/>
        <v>0.87324889881395396</v>
      </c>
    </row>
    <row r="769" spans="1:29">
      <c r="A769" s="216" t="s">
        <v>25</v>
      </c>
      <c r="K769">
        <v>543.79999999999995</v>
      </c>
      <c r="L769">
        <v>6.9</v>
      </c>
      <c r="M769">
        <v>1.9</v>
      </c>
      <c r="N769">
        <v>173.1</v>
      </c>
      <c r="O769">
        <v>203</v>
      </c>
      <c r="P769" s="298">
        <f t="shared" si="854"/>
        <v>928.69999999999993</v>
      </c>
      <c r="Q769" s="216" t="s">
        <v>18</v>
      </c>
      <c r="R769" s="230">
        <f t="shared" si="855"/>
        <v>0</v>
      </c>
      <c r="S769" s="230">
        <f t="shared" si="856"/>
        <v>594.54215215342583</v>
      </c>
      <c r="T769" s="230">
        <f t="shared" si="857"/>
        <v>1653.9179855247207</v>
      </c>
      <c r="U769" s="230">
        <f t="shared" si="858"/>
        <v>694.45246315014538</v>
      </c>
      <c r="V769" s="230">
        <f t="shared" si="859"/>
        <v>352.93725709899201</v>
      </c>
      <c r="W769" s="230">
        <f t="shared" si="860"/>
        <v>10.182684883123088</v>
      </c>
      <c r="X769" s="222">
        <f t="shared" ref="X769:X779" si="861">IFERROR(X746/P729*1000000,0)</f>
        <v>171.87204755522416</v>
      </c>
      <c r="Z769" s="199">
        <f>AA769*AB769</f>
        <v>0</v>
      </c>
      <c r="AA769" s="215">
        <v>3.8</v>
      </c>
      <c r="AB769" s="208">
        <v>0</v>
      </c>
      <c r="AC769" s="218" t="s">
        <v>153</v>
      </c>
    </row>
    <row r="770" spans="1:29">
      <c r="A770" s="216" t="s">
        <v>26</v>
      </c>
      <c r="K770">
        <v>511.1</v>
      </c>
      <c r="M770">
        <v>61.9</v>
      </c>
      <c r="N770">
        <v>5.0999999999999996</v>
      </c>
      <c r="O770">
        <v>0.6</v>
      </c>
      <c r="P770" s="298">
        <f t="shared" si="854"/>
        <v>578.70000000000005</v>
      </c>
      <c r="Q770" s="216" t="s">
        <v>19</v>
      </c>
      <c r="R770" s="230">
        <f t="shared" si="855"/>
        <v>0</v>
      </c>
      <c r="S770" s="230">
        <f t="shared" si="856"/>
        <v>409.82834858113716</v>
      </c>
      <c r="T770" s="230">
        <f t="shared" si="857"/>
        <v>0</v>
      </c>
      <c r="U770" s="230">
        <f t="shared" si="858"/>
        <v>1065.105833039916</v>
      </c>
      <c r="V770" s="230">
        <f t="shared" si="859"/>
        <v>565.13266320758839</v>
      </c>
      <c r="W770" s="230">
        <f t="shared" si="860"/>
        <v>11.823536290954683</v>
      </c>
      <c r="X770" s="222">
        <f t="shared" si="861"/>
        <v>407.49230384962914</v>
      </c>
      <c r="Z770" s="199">
        <f>AA770*AB770</f>
        <v>0</v>
      </c>
      <c r="AA770" s="215">
        <v>74.099999999999994</v>
      </c>
      <c r="AB770" s="208">
        <v>0</v>
      </c>
      <c r="AC770" s="216" t="s">
        <v>228</v>
      </c>
    </row>
    <row r="771" spans="1:29">
      <c r="A771" s="216" t="s">
        <v>27</v>
      </c>
      <c r="J771">
        <v>36.4</v>
      </c>
      <c r="K771">
        <v>1899.7</v>
      </c>
      <c r="L771">
        <v>35.700000000000003</v>
      </c>
      <c r="M771">
        <v>209.8</v>
      </c>
      <c r="N771">
        <v>196.8</v>
      </c>
      <c r="O771">
        <v>1.3</v>
      </c>
      <c r="P771" s="298">
        <f t="shared" si="854"/>
        <v>2379.7000000000007</v>
      </c>
      <c r="Q771" s="216" t="s">
        <v>20</v>
      </c>
      <c r="R771" s="230">
        <f t="shared" si="855"/>
        <v>901.36377084811363</v>
      </c>
      <c r="S771" s="230">
        <f t="shared" si="856"/>
        <v>522.44325409759642</v>
      </c>
      <c r="T771" s="230">
        <f t="shared" si="857"/>
        <v>0</v>
      </c>
      <c r="U771" s="230">
        <f t="shared" si="858"/>
        <v>738.1350656692432</v>
      </c>
      <c r="V771" s="230">
        <f t="shared" si="859"/>
        <v>550.65750417410334</v>
      </c>
      <c r="W771" s="230">
        <f t="shared" si="860"/>
        <v>9.4239217480366282</v>
      </c>
      <c r="X771" s="222">
        <f t="shared" si="861"/>
        <v>856.98991169459964</v>
      </c>
      <c r="Z771" s="199">
        <f>AA771*AB771</f>
        <v>0</v>
      </c>
      <c r="AA771" s="215">
        <v>9.6</v>
      </c>
      <c r="AB771" s="208">
        <v>0</v>
      </c>
      <c r="AC771" s="216" t="s">
        <v>152</v>
      </c>
    </row>
    <row r="772" spans="1:29">
      <c r="A772" s="216" t="s">
        <v>28</v>
      </c>
      <c r="J772">
        <v>9</v>
      </c>
      <c r="K772">
        <v>192.2</v>
      </c>
      <c r="M772">
        <v>128.4</v>
      </c>
      <c r="N772">
        <v>96.7</v>
      </c>
      <c r="O772">
        <v>0.2</v>
      </c>
      <c r="P772" s="298">
        <f t="shared" si="854"/>
        <v>426.5</v>
      </c>
      <c r="Q772" s="216" t="s">
        <v>21</v>
      </c>
      <c r="R772" s="230">
        <f t="shared" si="855"/>
        <v>0</v>
      </c>
      <c r="S772" s="230">
        <f t="shared" si="856"/>
        <v>389.13809726055945</v>
      </c>
      <c r="T772" s="230">
        <f t="shared" si="857"/>
        <v>0</v>
      </c>
      <c r="U772" s="230">
        <f t="shared" si="858"/>
        <v>558.71922792991245</v>
      </c>
      <c r="V772" s="230">
        <f t="shared" si="859"/>
        <v>305.70252762130372</v>
      </c>
      <c r="W772" s="230">
        <f t="shared" si="860"/>
        <v>10.664489022620137</v>
      </c>
      <c r="X772" s="222">
        <f t="shared" si="861"/>
        <v>383.87772685403684</v>
      </c>
      <c r="Z772" s="199"/>
      <c r="AA772" s="215">
        <v>0</v>
      </c>
      <c r="AB772" s="208">
        <v>0</v>
      </c>
      <c r="AC772" s="216" t="s">
        <v>229</v>
      </c>
    </row>
    <row r="773" spans="1:29">
      <c r="A773" s="216" t="s">
        <v>29</v>
      </c>
      <c r="K773">
        <v>88.1</v>
      </c>
      <c r="L773">
        <v>58.1</v>
      </c>
      <c r="M773">
        <v>105.1</v>
      </c>
      <c r="N773">
        <v>531</v>
      </c>
      <c r="O773">
        <v>0.5</v>
      </c>
      <c r="P773" s="298">
        <f t="shared" si="854"/>
        <v>782.8</v>
      </c>
      <c r="Q773" s="216" t="s">
        <v>23</v>
      </c>
      <c r="R773" s="230">
        <f t="shared" si="855"/>
        <v>0</v>
      </c>
      <c r="S773" s="230">
        <f t="shared" si="856"/>
        <v>540.94345096084294</v>
      </c>
      <c r="T773" s="230">
        <f t="shared" si="857"/>
        <v>0</v>
      </c>
      <c r="U773" s="230">
        <f t="shared" si="858"/>
        <v>0</v>
      </c>
      <c r="V773" s="230">
        <f t="shared" si="859"/>
        <v>0</v>
      </c>
      <c r="W773" s="230">
        <f t="shared" si="860"/>
        <v>0</v>
      </c>
      <c r="X773" s="222">
        <f t="shared" si="861"/>
        <v>540.94345096084294</v>
      </c>
      <c r="Z773" s="199">
        <f>AA773*AB773</f>
        <v>0</v>
      </c>
      <c r="AA773" s="215">
        <v>260.39999999999998</v>
      </c>
      <c r="AB773" s="208">
        <v>0</v>
      </c>
      <c r="AC773" s="216" t="s">
        <v>230</v>
      </c>
    </row>
    <row r="774" spans="1:29">
      <c r="A774" s="223" t="s">
        <v>277</v>
      </c>
      <c r="J774" s="209">
        <f t="shared" ref="J774:O774" si="862">SUM(J775:J779)</f>
        <v>66.3</v>
      </c>
      <c r="K774" s="209">
        <f t="shared" si="862"/>
        <v>14278.699999999999</v>
      </c>
      <c r="L774" s="209">
        <f t="shared" si="862"/>
        <v>566.29999999999995</v>
      </c>
      <c r="M774" s="209">
        <f t="shared" si="862"/>
        <v>932.10200000000009</v>
      </c>
      <c r="N774" s="209">
        <f t="shared" si="862"/>
        <v>3714.8490000000002</v>
      </c>
      <c r="O774" s="209">
        <f t="shared" si="862"/>
        <v>1096.049</v>
      </c>
      <c r="P774" s="298">
        <f t="shared" si="854"/>
        <v>20654.299999999996</v>
      </c>
      <c r="Q774" s="223" t="s">
        <v>24</v>
      </c>
      <c r="R774" s="222">
        <f t="shared" si="855"/>
        <v>421.02795001236922</v>
      </c>
      <c r="S774" s="222">
        <f t="shared" si="856"/>
        <v>353.42424035084457</v>
      </c>
      <c r="T774" s="222">
        <f t="shared" si="857"/>
        <v>1607.3199833261785</v>
      </c>
      <c r="U774" s="222">
        <f t="shared" si="858"/>
        <v>462.43826816637761</v>
      </c>
      <c r="V774" s="222">
        <f t="shared" si="859"/>
        <v>319.75610814143971</v>
      </c>
      <c r="W774" s="222">
        <f t="shared" si="860"/>
        <v>7.4093105805884347</v>
      </c>
      <c r="X774" s="222">
        <f t="shared" si="861"/>
        <v>361.87321678876975</v>
      </c>
    </row>
    <row r="775" spans="1:29">
      <c r="A775" s="216" t="s">
        <v>25</v>
      </c>
      <c r="K775">
        <v>1581.7</v>
      </c>
      <c r="L775">
        <v>31</v>
      </c>
      <c r="M775" s="177">
        <v>7.3019999999999996</v>
      </c>
      <c r="N775" s="177">
        <v>535.649</v>
      </c>
      <c r="O775" s="177">
        <v>1086.8489999999999</v>
      </c>
      <c r="P775" s="298">
        <f t="shared" si="854"/>
        <v>3242.5</v>
      </c>
      <c r="Q775" s="216" t="s">
        <v>25</v>
      </c>
      <c r="R775" s="230">
        <f t="shared" si="855"/>
        <v>0</v>
      </c>
      <c r="S775" s="230">
        <f t="shared" si="856"/>
        <v>324.12805968503943</v>
      </c>
      <c r="T775" s="230">
        <f t="shared" si="857"/>
        <v>1319.8453994640911</v>
      </c>
      <c r="U775" s="230">
        <f t="shared" si="858"/>
        <v>478.34612263487287</v>
      </c>
      <c r="V775" s="230">
        <f t="shared" si="859"/>
        <v>302.65512571951734</v>
      </c>
      <c r="W775" s="230">
        <f t="shared" si="860"/>
        <v>7.4036887726618019</v>
      </c>
      <c r="X775" s="222">
        <f t="shared" si="861"/>
        <v>219.68015053175515</v>
      </c>
    </row>
    <row r="776" spans="1:29">
      <c r="A776" s="216" t="s">
        <v>26</v>
      </c>
      <c r="K776">
        <v>1176.9000000000001</v>
      </c>
      <c r="M776">
        <v>117.3</v>
      </c>
      <c r="N776">
        <v>8.5</v>
      </c>
      <c r="O776">
        <v>1.4</v>
      </c>
      <c r="P776" s="298">
        <f t="shared" si="854"/>
        <v>1304.1000000000001</v>
      </c>
      <c r="Q776" s="216" t="s">
        <v>26</v>
      </c>
      <c r="R776" s="230">
        <f t="shared" si="855"/>
        <v>0</v>
      </c>
      <c r="S776" s="230">
        <f t="shared" si="856"/>
        <v>344.87594401765227</v>
      </c>
      <c r="T776" s="230">
        <f t="shared" si="857"/>
        <v>866.77793208540561</v>
      </c>
      <c r="U776" s="230">
        <f t="shared" si="858"/>
        <v>362.58001760901311</v>
      </c>
      <c r="V776" s="230">
        <f t="shared" si="859"/>
        <v>356.3856329352239</v>
      </c>
      <c r="W776" s="230">
        <f t="shared" si="860"/>
        <v>8.1091503652008665</v>
      </c>
      <c r="X776" s="222">
        <f t="shared" si="861"/>
        <v>346.16175345430514</v>
      </c>
    </row>
    <row r="777" spans="1:29">
      <c r="A777" s="216" t="s">
        <v>27</v>
      </c>
      <c r="J777">
        <v>54.2</v>
      </c>
      <c r="K777" s="177">
        <v>10929.5</v>
      </c>
      <c r="L777">
        <v>216.5</v>
      </c>
      <c r="M777">
        <v>459.1</v>
      </c>
      <c r="N777">
        <v>1317.6</v>
      </c>
      <c r="O777">
        <v>6.4</v>
      </c>
      <c r="P777" s="298">
        <f t="shared" si="854"/>
        <v>12983.300000000001</v>
      </c>
      <c r="Q777" s="216" t="s">
        <v>27</v>
      </c>
      <c r="R777" s="230">
        <f>IFERROR(R754/J737*1000000,0)</f>
        <v>416.08152627345402</v>
      </c>
      <c r="S777" s="230">
        <f t="shared" si="856"/>
        <v>356.46017943669432</v>
      </c>
      <c r="T777" s="230">
        <f t="shared" si="857"/>
        <v>1527.3473431289622</v>
      </c>
      <c r="U777" s="230">
        <f t="shared" si="858"/>
        <v>467.74984776637876</v>
      </c>
      <c r="V777" s="230">
        <f t="shared" si="859"/>
        <v>242.38874337234796</v>
      </c>
      <c r="W777" s="230">
        <f t="shared" si="860"/>
        <v>8.1614067794630181</v>
      </c>
      <c r="X777" s="222">
        <f t="shared" si="861"/>
        <v>361.77246777792021</v>
      </c>
    </row>
    <row r="778" spans="1:29">
      <c r="A778" s="216" t="s">
        <v>28</v>
      </c>
      <c r="J778">
        <v>12.1</v>
      </c>
      <c r="K778">
        <v>305.3</v>
      </c>
      <c r="M778">
        <v>161.69999999999999</v>
      </c>
      <c r="N778">
        <v>192.8</v>
      </c>
      <c r="O778">
        <v>0.3</v>
      </c>
      <c r="P778" s="298">
        <f t="shared" si="854"/>
        <v>672.2</v>
      </c>
      <c r="Q778" s="216" t="s">
        <v>28</v>
      </c>
      <c r="R778" s="230">
        <f t="shared" si="855"/>
        <v>475.52174431251882</v>
      </c>
      <c r="S778" s="230">
        <f t="shared" si="856"/>
        <v>282.57465800777885</v>
      </c>
      <c r="T778" s="230">
        <f t="shared" si="857"/>
        <v>0</v>
      </c>
      <c r="U778" s="230">
        <f t="shared" si="858"/>
        <v>334.10703411884197</v>
      </c>
      <c r="V778" s="230">
        <f t="shared" si="859"/>
        <v>236.85530307699912</v>
      </c>
      <c r="W778" s="230">
        <f t="shared" si="860"/>
        <v>4.9622690983340272</v>
      </c>
      <c r="X778" s="222">
        <f t="shared" si="861"/>
        <v>272.26048359766577</v>
      </c>
    </row>
    <row r="779" spans="1:29">
      <c r="A779" s="216" t="s">
        <v>29</v>
      </c>
      <c r="K779">
        <v>285.3</v>
      </c>
      <c r="L779">
        <v>318.8</v>
      </c>
      <c r="M779">
        <v>186.7</v>
      </c>
      <c r="N779">
        <v>1660.3</v>
      </c>
      <c r="O779">
        <v>1.1000000000000001</v>
      </c>
      <c r="P779" s="298">
        <f t="shared" si="854"/>
        <v>2452.1999999999998</v>
      </c>
      <c r="Q779" s="216" t="s">
        <v>29</v>
      </c>
      <c r="R779" s="230">
        <f t="shared" si="855"/>
        <v>0</v>
      </c>
      <c r="S779" s="230">
        <f t="shared" si="856"/>
        <v>485.1546953109285</v>
      </c>
      <c r="T779" s="230">
        <f t="shared" si="857"/>
        <v>1703.6223691808655</v>
      </c>
      <c r="U779" s="230">
        <f t="shared" si="858"/>
        <v>621.57604211580883</v>
      </c>
      <c r="V779" s="230">
        <f t="shared" si="859"/>
        <v>509.83835764754417</v>
      </c>
      <c r="W779" s="230">
        <f t="shared" si="860"/>
        <v>10.759595696577254</v>
      </c>
      <c r="X779" s="222">
        <f t="shared" si="861"/>
        <v>747.27453179822055</v>
      </c>
    </row>
    <row r="780" spans="1:29">
      <c r="A780" s="11" t="s">
        <v>10</v>
      </c>
      <c r="Q780" s="223" t="s">
        <v>10</v>
      </c>
      <c r="R780" s="224">
        <f t="shared" ref="R780:X780" si="863">R757/J740*1000000</f>
        <v>899.77381817586729</v>
      </c>
      <c r="S780" s="224">
        <f t="shared" si="863"/>
        <v>367.51607543854271</v>
      </c>
      <c r="T780" s="224">
        <f t="shared" si="863"/>
        <v>1608.0041370244637</v>
      </c>
      <c r="U780" s="224">
        <f t="shared" si="863"/>
        <v>616.9968793589544</v>
      </c>
      <c r="V780" s="224">
        <f t="shared" si="863"/>
        <v>368.23828998991752</v>
      </c>
      <c r="W780" s="224">
        <f t="shared" si="863"/>
        <v>8.4913273520293728</v>
      </c>
      <c r="X780" s="225">
        <f t="shared" si="863"/>
        <v>493.83282588083608</v>
      </c>
    </row>
    <row r="781" spans="1:29">
      <c r="J781" s="90">
        <f t="shared" ref="J781:O786" si="864">IFERROR((J734/11.63+J768)/J774,"")</f>
        <v>0.87022302802991691</v>
      </c>
      <c r="K781" s="90">
        <f t="shared" si="864"/>
        <v>0.66454014045573939</v>
      </c>
      <c r="L781" s="90">
        <f t="shared" si="864"/>
        <v>0.51000695559065667</v>
      </c>
      <c r="M781" s="90">
        <f t="shared" si="864"/>
        <v>0.7679803578525175</v>
      </c>
      <c r="N781" s="90">
        <f t="shared" si="864"/>
        <v>0.57770756998468664</v>
      </c>
      <c r="O781" s="90">
        <f t="shared" si="864"/>
        <v>0.58657713559255098</v>
      </c>
      <c r="P781" s="234">
        <f>P774-('5-x'!$U$82+'5-x'!$U$84)</f>
        <v>0</v>
      </c>
      <c r="R781" s="226">
        <f>'12'!AA6</f>
        <v>899.77381817586729</v>
      </c>
      <c r="S781" s="226">
        <f>'12'!AA7</f>
        <v>367.51640695193237</v>
      </c>
      <c r="T781" s="234"/>
      <c r="U781" s="234"/>
      <c r="V781" s="234"/>
      <c r="W781" s="234"/>
      <c r="X781" s="226">
        <f>'12'!AA11</f>
        <v>492.3030381344243</v>
      </c>
    </row>
    <row r="782" spans="1:29">
      <c r="J782" s="90" t="str">
        <f t="shared" si="864"/>
        <v/>
      </c>
      <c r="K782" s="90">
        <f t="shared" si="864"/>
        <v>0.73826951649430161</v>
      </c>
      <c r="L782" s="90">
        <f t="shared" si="864"/>
        <v>0.60285413141763522</v>
      </c>
      <c r="M782" s="90">
        <f t="shared" si="864"/>
        <v>0.63819545075696293</v>
      </c>
      <c r="N782" s="90">
        <f t="shared" si="864"/>
        <v>0.62390110583494207</v>
      </c>
      <c r="O782" s="90">
        <f t="shared" si="864"/>
        <v>0.58648405111583601</v>
      </c>
      <c r="P782" s="302">
        <f>(P751/41.868)-'5-x'!$U$82</f>
        <v>-2.3167454855865799E-4</v>
      </c>
      <c r="R782" s="202">
        <f>R780-R781</f>
        <v>0</v>
      </c>
      <c r="S782" s="202">
        <f>S780-S781</f>
        <v>-3.3151338965353716E-4</v>
      </c>
      <c r="T782" s="202"/>
      <c r="U782" s="202"/>
      <c r="V782" s="202"/>
      <c r="W782" s="202"/>
      <c r="X782" s="252">
        <f>X780-X781</f>
        <v>1.5297877464117846</v>
      </c>
    </row>
    <row r="783" spans="1:29">
      <c r="J783" s="90" t="str">
        <f t="shared" si="864"/>
        <v/>
      </c>
      <c r="K783" s="90">
        <f t="shared" si="864"/>
        <v>0.74434388198092727</v>
      </c>
      <c r="L783" s="90" t="str">
        <f t="shared" si="864"/>
        <v/>
      </c>
      <c r="M783" s="90">
        <f t="shared" si="864"/>
        <v>0.82429103085400302</v>
      </c>
      <c r="N783" s="90">
        <f t="shared" si="864"/>
        <v>0.72847099286834249</v>
      </c>
      <c r="O783" s="90">
        <f t="shared" si="864"/>
        <v>0.68652499692912416</v>
      </c>
      <c r="P783" s="302">
        <f>(P745/41.868)-'5-x'!$U$83</f>
        <v>4.999261971533997E-3</v>
      </c>
    </row>
    <row r="784" spans="1:29">
      <c r="J784" s="90">
        <f t="shared" si="864"/>
        <v>0.87956772946921213</v>
      </c>
      <c r="K784" s="90">
        <f t="shared" si="864"/>
        <v>0.64212144142614647</v>
      </c>
      <c r="L784" s="90">
        <f t="shared" si="864"/>
        <v>0.5206694480905677</v>
      </c>
      <c r="M784" s="90">
        <f t="shared" si="864"/>
        <v>0.73150972228179056</v>
      </c>
      <c r="N784" s="90">
        <f t="shared" si="864"/>
        <v>0.63085883763751915</v>
      </c>
      <c r="O784" s="90">
        <f t="shared" si="864"/>
        <v>0.56452869733447963</v>
      </c>
      <c r="P784" s="144"/>
    </row>
    <row r="785" spans="1:29">
      <c r="J785" s="90">
        <f t="shared" si="864"/>
        <v>0.82836494389687543</v>
      </c>
      <c r="K785" s="90">
        <f t="shared" si="864"/>
        <v>0.8471956737928017</v>
      </c>
      <c r="L785" s="90" t="str">
        <f t="shared" si="864"/>
        <v/>
      </c>
      <c r="M785" s="90">
        <f t="shared" si="864"/>
        <v>0.88924693616991879</v>
      </c>
      <c r="N785" s="90">
        <f t="shared" si="864"/>
        <v>0.76985627026969161</v>
      </c>
      <c r="O785" s="90">
        <f t="shared" si="864"/>
        <v>0.83863571223846378</v>
      </c>
      <c r="P785" s="144"/>
      <c r="Z785" s="199"/>
      <c r="AA785" s="215"/>
      <c r="AC785" s="216"/>
    </row>
    <row r="786" spans="1:29">
      <c r="J786" s="90" t="str">
        <f t="shared" si="864"/>
        <v/>
      </c>
      <c r="K786" s="90">
        <f t="shared" si="864"/>
        <v>0.58995780338929105</v>
      </c>
      <c r="L786" s="90">
        <f t="shared" si="864"/>
        <v>0.49368358990237465</v>
      </c>
      <c r="M786" s="90">
        <f t="shared" si="864"/>
        <v>0.72233124443599084</v>
      </c>
      <c r="N786" s="90">
        <f t="shared" si="864"/>
        <v>0.49753929313502948</v>
      </c>
      <c r="O786" s="90">
        <f t="shared" si="864"/>
        <v>0.61088095051981539</v>
      </c>
      <c r="P786" s="144"/>
      <c r="Z786" s="199"/>
      <c r="AA786" s="215"/>
      <c r="AC786" s="216"/>
    </row>
    <row r="787" spans="1:29">
      <c r="A787" s="68" t="str">
        <f>$A$726</f>
        <v>Dati 2015 lorda</v>
      </c>
      <c r="J787" s="90"/>
      <c r="K787" s="90"/>
      <c r="L787" s="90"/>
      <c r="M787" s="90"/>
      <c r="N787" s="90"/>
      <c r="O787" s="90"/>
      <c r="P787" s="301"/>
      <c r="Z787" s="199"/>
      <c r="AA787" s="215"/>
      <c r="AC787" s="216"/>
    </row>
    <row r="788" spans="1:29">
      <c r="A788" s="68" t="s">
        <v>281</v>
      </c>
      <c r="J788" s="479">
        <v>0.20243385951799553</v>
      </c>
      <c r="K788" s="479">
        <v>8.7492198064849021</v>
      </c>
      <c r="L788" s="479">
        <v>0.91447380954282131</v>
      </c>
      <c r="M788" s="658">
        <v>1.4709756638860099</v>
      </c>
      <c r="N788" s="657">
        <v>1.8031245613637501</v>
      </c>
      <c r="O788" s="657">
        <v>1.0849303639785257E-3</v>
      </c>
      <c r="P788" s="323">
        <f>SUM(J788:O788)</f>
        <v>13.141312631159458</v>
      </c>
      <c r="Z788" s="199"/>
      <c r="AA788" s="215"/>
      <c r="AC788" s="216"/>
    </row>
    <row r="789" spans="1:29">
      <c r="A789" t="s">
        <v>284</v>
      </c>
      <c r="J789" s="211">
        <f t="shared" ref="J789:P789" si="865">J788/(J768*11.63)*1000000</f>
        <v>383.39600895071516</v>
      </c>
      <c r="K789" s="211">
        <f t="shared" si="865"/>
        <v>232.55664465966052</v>
      </c>
      <c r="L789" s="211">
        <f t="shared" si="865"/>
        <v>780.84006071243448</v>
      </c>
      <c r="M789" s="211">
        <f t="shared" si="865"/>
        <v>249.42050973951652</v>
      </c>
      <c r="N789" s="211">
        <f t="shared" si="865"/>
        <v>154.6233219630943</v>
      </c>
      <c r="O789" s="211">
        <f t="shared" si="865"/>
        <v>0.4537316128532331</v>
      </c>
      <c r="P789" s="211">
        <f t="shared" si="865"/>
        <v>221.71522945030736</v>
      </c>
      <c r="Z789" s="199"/>
      <c r="AA789" s="215"/>
      <c r="AC789" s="216"/>
    </row>
    <row r="790" spans="1:29">
      <c r="Z790" s="199"/>
      <c r="AA790" s="215"/>
      <c r="AC790" s="216"/>
    </row>
    <row r="791" spans="1:29">
      <c r="A791" s="68" t="s">
        <v>283</v>
      </c>
      <c r="B791" s="68"/>
      <c r="C791" s="68"/>
      <c r="D791" s="68"/>
      <c r="E791" s="68"/>
      <c r="F791" s="68"/>
      <c r="G791" s="68"/>
      <c r="H791" s="68"/>
      <c r="I791" s="68"/>
      <c r="J791" s="304">
        <f>J788+R751</f>
        <v>0.26264085636976431</v>
      </c>
      <c r="K791" s="304">
        <f t="shared" ref="K791:P791" si="866">K788+S751</f>
        <v>34.454648367802704</v>
      </c>
      <c r="L791" s="304">
        <f t="shared" si="866"/>
        <v>4.4309684690638349</v>
      </c>
      <c r="M791" s="304">
        <f t="shared" si="866"/>
        <v>2.5935908036867081</v>
      </c>
      <c r="N791" s="304">
        <f t="shared" si="866"/>
        <v>6.0551453605961729</v>
      </c>
      <c r="O791" s="304">
        <f t="shared" si="866"/>
        <v>3.8768683976851306E-2</v>
      </c>
      <c r="P791" s="304">
        <f t="shared" si="866"/>
        <v>47.835762541496038</v>
      </c>
      <c r="Z791" s="199"/>
      <c r="AA791" s="215"/>
      <c r="AC791" s="216"/>
    </row>
    <row r="792" spans="1:29">
      <c r="A792" t="s">
        <v>284</v>
      </c>
      <c r="J792" s="90">
        <f>J791/((J768*11.63)+J734)*1000000</f>
        <v>391.41590691199769</v>
      </c>
      <c r="K792" s="90">
        <f t="shared" ref="K792:P792" si="867">K791/((K768*11.63)+K734)*1000000</f>
        <v>312.21820268733592</v>
      </c>
      <c r="L792" s="90">
        <f t="shared" si="867"/>
        <v>1319.1563856179177</v>
      </c>
      <c r="M792" s="90">
        <f t="shared" si="867"/>
        <v>311.53596492069391</v>
      </c>
      <c r="N792" s="90">
        <f t="shared" si="867"/>
        <v>242.60270274142374</v>
      </c>
      <c r="O792" s="90">
        <f t="shared" si="867"/>
        <v>5.1849699479333911</v>
      </c>
      <c r="P792" s="90">
        <f t="shared" si="867"/>
        <v>308.32793093848068</v>
      </c>
      <c r="Z792" s="199"/>
      <c r="AA792" s="215"/>
      <c r="AC792" s="216"/>
    </row>
    <row r="793" spans="1:29">
      <c r="Z793" s="199"/>
      <c r="AA793" s="215"/>
      <c r="AC793" s="216"/>
    </row>
    <row r="794" spans="1:29">
      <c r="A794" s="68" t="s">
        <v>285</v>
      </c>
      <c r="B794" s="68"/>
      <c r="C794" s="68"/>
      <c r="D794" s="68"/>
      <c r="E794" s="68"/>
      <c r="F794" s="68"/>
      <c r="G794" s="68"/>
      <c r="H794" s="68"/>
      <c r="I794" s="68"/>
      <c r="J794" s="298">
        <f>IFERROR((J$789*J768*11.63/1000000+R751)/(J768*11.63+J734)*1000000,"")</f>
        <v>391.41590691199769</v>
      </c>
      <c r="K794" s="298">
        <f t="shared" ref="K794:P794" si="868">IFERROR((K$789*K768*11.63/1000000+S751)/(K768*11.63+K734)*1000000,"")</f>
        <v>312.21820268733592</v>
      </c>
      <c r="L794" s="298">
        <f t="shared" si="868"/>
        <v>1319.1563856179177</v>
      </c>
      <c r="M794" s="298">
        <f t="shared" si="868"/>
        <v>311.53596492069391</v>
      </c>
      <c r="N794" s="298">
        <f t="shared" si="868"/>
        <v>242.60270274142374</v>
      </c>
      <c r="O794" s="298">
        <f t="shared" si="868"/>
        <v>5.1849699479333911</v>
      </c>
      <c r="P794" s="298">
        <f t="shared" si="868"/>
        <v>308.32793093848068</v>
      </c>
      <c r="Q794" s="284"/>
      <c r="R794" s="285">
        <f t="shared" ref="R794:R799" si="869">IFERROR(J794/R774-1,"")</f>
        <v>-7.0332725177750244E-2</v>
      </c>
      <c r="S794" s="285">
        <f t="shared" ref="S794:S799" si="870">IFERROR(K794/S774-1,"")</f>
        <v>-0.11659086434649579</v>
      </c>
      <c r="T794" s="285">
        <f t="shared" ref="T794:T799" si="871">IFERROR(L794/T774-1,"")</f>
        <v>-0.17928203512528773</v>
      </c>
      <c r="U794" s="285">
        <f t="shared" ref="U794:U799" si="872">IFERROR(M794/U774-1,"")</f>
        <v>-0.32631880541381053</v>
      </c>
      <c r="V794" s="285">
        <f t="shared" ref="V794:V799" si="873">IFERROR(N794/V774-1,"")</f>
        <v>-0.24128829265675267</v>
      </c>
      <c r="W794" s="285">
        <f t="shared" ref="W794:W799" si="874">IFERROR(O794/W774-1,"")</f>
        <v>-0.30020885323427626</v>
      </c>
      <c r="X794" s="285">
        <f t="shared" ref="X794:X799" si="875">IFERROR(P794/X774-1,"")</f>
        <v>-0.14796697673689452</v>
      </c>
      <c r="Z794" s="199"/>
      <c r="AA794" s="215"/>
      <c r="AC794" s="216"/>
    </row>
    <row r="795" spans="1:29">
      <c r="A795" s="216" t="s">
        <v>25</v>
      </c>
      <c r="J795" s="211" t="str">
        <f t="shared" ref="J795:P795" si="876">IFERROR((J$789*J769*11.63/1000000+R752)/(J769*11.63+J735)*1000000,"")</f>
        <v/>
      </c>
      <c r="K795" s="211">
        <f t="shared" si="876"/>
        <v>281.48384929497723</v>
      </c>
      <c r="L795" s="211">
        <f t="shared" si="876"/>
        <v>1120.8384593231908</v>
      </c>
      <c r="M795" s="211">
        <f t="shared" si="876"/>
        <v>385.00942008401785</v>
      </c>
      <c r="N795" s="211">
        <f t="shared" si="876"/>
        <v>225.97972664796288</v>
      </c>
      <c r="O795" s="211">
        <f t="shared" si="876"/>
        <v>5.1903252464307927</v>
      </c>
      <c r="P795" s="211">
        <f t="shared" si="876"/>
        <v>220.55405552226065</v>
      </c>
      <c r="Q795" s="284"/>
      <c r="R795" s="284" t="str">
        <f t="shared" si="869"/>
        <v/>
      </c>
      <c r="S795" s="284">
        <f t="shared" si="870"/>
        <v>-0.13156593240184233</v>
      </c>
      <c r="T795" s="284">
        <f t="shared" si="871"/>
        <v>-0.1507804930954072</v>
      </c>
      <c r="U795" s="284">
        <f t="shared" si="872"/>
        <v>-0.1951237778132886</v>
      </c>
      <c r="V795" s="284">
        <f t="shared" si="873"/>
        <v>-0.25334247648795027</v>
      </c>
      <c r="W795" s="284">
        <f t="shared" si="874"/>
        <v>-0.29895415571814377</v>
      </c>
      <c r="X795" s="284">
        <f t="shared" si="875"/>
        <v>3.9780789861538768E-3</v>
      </c>
      <c r="Z795" s="199"/>
      <c r="AA795" s="215"/>
      <c r="AC795" s="216"/>
    </row>
    <row r="796" spans="1:29">
      <c r="A796" s="216" t="s">
        <v>26</v>
      </c>
      <c r="J796" s="211" t="str">
        <f t="shared" ref="J796:P796" si="877">IFERROR((J$789*J770*11.63/1000000+R753)/(J770*11.63+J736)*1000000,"")</f>
        <v/>
      </c>
      <c r="K796" s="211">
        <f t="shared" si="877"/>
        <v>279.34490095799987</v>
      </c>
      <c r="L796" s="211">
        <f t="shared" si="877"/>
        <v>866.77793208540561</v>
      </c>
      <c r="M796" s="211">
        <f t="shared" si="877"/>
        <v>290.13590238529349</v>
      </c>
      <c r="N796" s="211">
        <f t="shared" si="877"/>
        <v>190.2055272502792</v>
      </c>
      <c r="O796" s="211">
        <f t="shared" si="877"/>
        <v>3.330163779596842</v>
      </c>
      <c r="P796" s="211">
        <f t="shared" si="877"/>
        <v>272.66566075108369</v>
      </c>
      <c r="Q796" s="284"/>
      <c r="R796" s="284" t="str">
        <f t="shared" si="869"/>
        <v/>
      </c>
      <c r="S796" s="284">
        <f t="shared" si="870"/>
        <v>-0.19001337784318828</v>
      </c>
      <c r="T796" s="284">
        <f t="shared" si="871"/>
        <v>0</v>
      </c>
      <c r="U796" s="284">
        <f t="shared" si="872"/>
        <v>-0.1998017312190643</v>
      </c>
      <c r="V796" s="284">
        <f t="shared" si="873"/>
        <v>-0.46629294317021286</v>
      </c>
      <c r="W796" s="284">
        <f t="shared" si="874"/>
        <v>-0.58933258977565495</v>
      </c>
      <c r="X796" s="284">
        <f t="shared" si="875"/>
        <v>-0.21231719555905026</v>
      </c>
      <c r="Z796" s="199"/>
      <c r="AA796" s="215"/>
      <c r="AC796" s="216"/>
    </row>
    <row r="797" spans="1:29">
      <c r="A797" s="216" t="s">
        <v>27</v>
      </c>
      <c r="J797" s="211">
        <f t="shared" ref="J797:P797" si="878">IFERROR((J$789*J771*11.63/1000000+R754)/(J771*11.63+J737)*1000000,"")</f>
        <v>391.12476797077727</v>
      </c>
      <c r="K797" s="211">
        <f t="shared" si="878"/>
        <v>322.92109115322847</v>
      </c>
      <c r="L797" s="211">
        <f t="shared" si="878"/>
        <v>1290.9284012035023</v>
      </c>
      <c r="M797" s="211">
        <f t="shared" si="878"/>
        <v>331.35744302848167</v>
      </c>
      <c r="N797" s="211">
        <f t="shared" si="878"/>
        <v>221.60935506096499</v>
      </c>
      <c r="O797" s="211">
        <f t="shared" si="878"/>
        <v>5.3880818349385571</v>
      </c>
      <c r="P797" s="211">
        <f t="shared" si="878"/>
        <v>321.85284619299404</v>
      </c>
      <c r="Q797" s="284"/>
      <c r="R797" s="284">
        <f t="shared" si="869"/>
        <v>-5.9980452692040109E-2</v>
      </c>
      <c r="S797" s="284">
        <f t="shared" si="870"/>
        <v>-9.4089298660138931E-2</v>
      </c>
      <c r="T797" s="284">
        <f t="shared" si="871"/>
        <v>-0.15479055434838163</v>
      </c>
      <c r="U797" s="284">
        <f t="shared" si="872"/>
        <v>-0.29159262240106454</v>
      </c>
      <c r="V797" s="284">
        <f t="shared" si="873"/>
        <v>-8.572753017437984E-2</v>
      </c>
      <c r="W797" s="284">
        <f t="shared" si="874"/>
        <v>-0.33980967000727447</v>
      </c>
      <c r="X797" s="284">
        <f t="shared" si="875"/>
        <v>-0.11034455394054887</v>
      </c>
      <c r="Z797" s="199"/>
      <c r="AA797" s="215"/>
      <c r="AC797" s="216"/>
    </row>
    <row r="798" spans="1:29">
      <c r="A798" s="216" t="s">
        <v>28</v>
      </c>
      <c r="J798" s="211">
        <f t="shared" ref="J798:P798" si="879">IFERROR((J$789*J772*11.63/1000000+R755)/(J772*11.63+J738)*1000000,"")</f>
        <v>392.80062635489696</v>
      </c>
      <c r="K798" s="211">
        <f t="shared" si="879"/>
        <v>245.40664985081057</v>
      </c>
      <c r="L798" s="211" t="str">
        <f t="shared" si="879"/>
        <v/>
      </c>
      <c r="M798" s="211">
        <f t="shared" si="879"/>
        <v>258.48524715612751</v>
      </c>
      <c r="N798" s="211">
        <f t="shared" si="879"/>
        <v>183.28173814394552</v>
      </c>
      <c r="O798" s="211">
        <f t="shared" si="879"/>
        <v>1.3782437424801901</v>
      </c>
      <c r="P798" s="211">
        <f t="shared" si="879"/>
        <v>233.84328052362892</v>
      </c>
      <c r="Q798" s="284"/>
      <c r="R798" s="284">
        <f t="shared" si="869"/>
        <v>-0.17395864426182062</v>
      </c>
      <c r="S798" s="284">
        <f t="shared" si="870"/>
        <v>-0.13153340932627122</v>
      </c>
      <c r="T798" s="284" t="str">
        <f t="shared" si="871"/>
        <v/>
      </c>
      <c r="U798" s="284">
        <f t="shared" si="872"/>
        <v>-0.22634000257479092</v>
      </c>
      <c r="V798" s="284">
        <f t="shared" si="873"/>
        <v>-0.22618689232234501</v>
      </c>
      <c r="W798" s="284">
        <f t="shared" si="874"/>
        <v>-0.72225534021463988</v>
      </c>
      <c r="X798" s="284">
        <f t="shared" si="875"/>
        <v>-0.14110458692495398</v>
      </c>
      <c r="Z798" s="199"/>
      <c r="AA798" s="215"/>
      <c r="AC798" s="216"/>
    </row>
    <row r="799" spans="1:29">
      <c r="A799" s="216" t="s">
        <v>29</v>
      </c>
      <c r="J799" s="211" t="str">
        <f t="shared" ref="J799:P799" si="880">IFERROR((J$789*J773*11.63/1000000+R756)/(J773*11.63+J739)*1000000,"")</f>
        <v/>
      </c>
      <c r="K799" s="211">
        <f t="shared" si="880"/>
        <v>352.93894877493796</v>
      </c>
      <c r="L799" s="211">
        <f t="shared" si="880"/>
        <v>1362.9723734263546</v>
      </c>
      <c r="M799" s="211">
        <f t="shared" si="880"/>
        <v>331.54366847094428</v>
      </c>
      <c r="N799" s="211">
        <f t="shared" si="880"/>
        <v>281.50366150828194</v>
      </c>
      <c r="O799" s="211">
        <f t="shared" si="880"/>
        <v>3.0911888319764627</v>
      </c>
      <c r="P799" s="211">
        <f t="shared" si="880"/>
        <v>427.68408382799453</v>
      </c>
      <c r="Q799" s="284"/>
      <c r="R799" s="284" t="str">
        <f t="shared" si="869"/>
        <v/>
      </c>
      <c r="S799" s="284">
        <f t="shared" si="870"/>
        <v>-0.27252286294221151</v>
      </c>
      <c r="T799" s="284">
        <f t="shared" si="871"/>
        <v>-0.19995628251717656</v>
      </c>
      <c r="U799" s="284">
        <f t="shared" si="872"/>
        <v>-0.46660803183084587</v>
      </c>
      <c r="V799" s="284">
        <f t="shared" si="873"/>
        <v>-0.44785703687110978</v>
      </c>
      <c r="W799" s="284">
        <f t="shared" si="874"/>
        <v>-0.71270399751546387</v>
      </c>
      <c r="X799" s="284">
        <f t="shared" si="875"/>
        <v>-0.42767474919983217</v>
      </c>
      <c r="Z799" s="199"/>
      <c r="AA799" s="215"/>
      <c r="AC799" s="216"/>
    </row>
    <row r="800" spans="1:29">
      <c r="Z800" s="199"/>
      <c r="AA800" s="215"/>
      <c r="AC800" s="216"/>
    </row>
    <row r="801" spans="1:43">
      <c r="Z801" s="199"/>
      <c r="AA801" s="215"/>
      <c r="AC801" s="216"/>
    </row>
    <row r="802" spans="1:43">
      <c r="Z802" s="199"/>
      <c r="AA802" s="215"/>
      <c r="AC802" s="216"/>
    </row>
    <row r="803" spans="1:43">
      <c r="Z803" s="199"/>
      <c r="AA803" s="215"/>
      <c r="AC803" s="216"/>
    </row>
    <row r="804" spans="1:43">
      <c r="Z804" s="199"/>
      <c r="AA804" s="215"/>
      <c r="AC804" s="216"/>
    </row>
    <row r="805" spans="1:43">
      <c r="Z805" s="199"/>
      <c r="AA805" s="215"/>
      <c r="AC805" s="216"/>
    </row>
    <row r="806" spans="1:43">
      <c r="Z806" s="199"/>
      <c r="AA806" s="215"/>
      <c r="AC806" s="216"/>
    </row>
    <row r="807" spans="1:43">
      <c r="Z807" s="199"/>
      <c r="AA807" s="215"/>
      <c r="AC807" s="216"/>
    </row>
    <row r="808" spans="1:43">
      <c r="J808" s="284">
        <f t="shared" ref="J808:P808" si="881">J818/J824</f>
        <v>3.2626977557501774E-3</v>
      </c>
      <c r="K808" s="284">
        <f t="shared" si="881"/>
        <v>0.56768851432926271</v>
      </c>
      <c r="L808" s="284">
        <f t="shared" si="881"/>
        <v>0.79822883532184263</v>
      </c>
      <c r="M808" s="284">
        <f t="shared" si="881"/>
        <v>0.49832203757626536</v>
      </c>
      <c r="N808" s="284">
        <f t="shared" si="881"/>
        <v>0.72122971722437679</v>
      </c>
      <c r="O808" s="284">
        <f t="shared" si="881"/>
        <v>0.28349048839560753</v>
      </c>
      <c r="P808" s="284">
        <f t="shared" si="881"/>
        <v>0.48365425639396425</v>
      </c>
    </row>
    <row r="809" spans="1:43">
      <c r="J809" s="196">
        <f>J858*((J818/11.63)/((J818/11.63)+J852))*41.868</f>
        <v>604.47192223242746</v>
      </c>
      <c r="K809" s="196">
        <f t="shared" ref="K809:P809" si="882">K858*((K818/11.63)/((K818/11.63)+K852))*41.868</f>
        <v>501681.31924064824</v>
      </c>
      <c r="L809" s="196">
        <f t="shared" si="882"/>
        <v>32253.578515503217</v>
      </c>
      <c r="M809" s="196">
        <f t="shared" si="882"/>
        <v>24585.970019192639</v>
      </c>
      <c r="N809" s="196">
        <f t="shared" si="882"/>
        <v>115391.91465394583</v>
      </c>
      <c r="O809" s="196">
        <f t="shared" si="882"/>
        <v>4211.6901928777352</v>
      </c>
      <c r="P809" s="196">
        <f t="shared" si="882"/>
        <v>667791.89786782733</v>
      </c>
    </row>
    <row r="810" spans="1:43">
      <c r="A810" s="68" t="s">
        <v>241</v>
      </c>
      <c r="J810" s="68" t="s">
        <v>199</v>
      </c>
      <c r="R810" s="68" t="s">
        <v>136</v>
      </c>
      <c r="S810" s="68"/>
      <c r="AA810" s="68" t="s">
        <v>218</v>
      </c>
      <c r="AB810" s="213" t="s">
        <v>217</v>
      </c>
      <c r="AJ810" s="68" t="s">
        <v>288</v>
      </c>
    </row>
    <row r="811" spans="1:43" ht="15.6">
      <c r="A811" s="68"/>
      <c r="J811" s="210" t="s">
        <v>5</v>
      </c>
      <c r="K811" s="210" t="s">
        <v>210</v>
      </c>
      <c r="L811" s="210" t="s">
        <v>211</v>
      </c>
      <c r="M811" s="210" t="s">
        <v>214</v>
      </c>
      <c r="N811" s="210" t="s">
        <v>216</v>
      </c>
      <c r="O811" s="210" t="s">
        <v>215</v>
      </c>
      <c r="P811" s="210" t="s">
        <v>213</v>
      </c>
      <c r="Q811" s="2"/>
      <c r="R811" s="210" t="s">
        <v>5</v>
      </c>
      <c r="S811" s="210" t="s">
        <v>210</v>
      </c>
      <c r="T811" s="210" t="s">
        <v>211</v>
      </c>
      <c r="U811" s="210" t="s">
        <v>214</v>
      </c>
      <c r="V811" s="210" t="s">
        <v>216</v>
      </c>
      <c r="W811" s="210" t="s">
        <v>215</v>
      </c>
      <c r="X811" s="210" t="s">
        <v>213</v>
      </c>
      <c r="AA811" s="68" t="s">
        <v>5</v>
      </c>
      <c r="AJ811" s="68"/>
      <c r="AK811" s="210" t="s">
        <v>5</v>
      </c>
      <c r="AL811" s="210" t="s">
        <v>210</v>
      </c>
      <c r="AM811" s="210" t="s">
        <v>211</v>
      </c>
      <c r="AN811" s="210" t="s">
        <v>214</v>
      </c>
      <c r="AO811" s="210" t="s">
        <v>216</v>
      </c>
      <c r="AP811" s="210" t="s">
        <v>215</v>
      </c>
      <c r="AQ811" s="210" t="s">
        <v>213</v>
      </c>
    </row>
    <row r="812" spans="1:43" ht="15.6">
      <c r="A812" s="11" t="s">
        <v>17</v>
      </c>
      <c r="J812" s="209">
        <f t="shared" ref="J812:P812" si="883">SUM(J813:J817)</f>
        <v>39604.35</v>
      </c>
      <c r="K812" s="209">
        <f t="shared" si="883"/>
        <v>66029.7</v>
      </c>
      <c r="L812" s="209">
        <f t="shared" si="883"/>
        <v>954.65</v>
      </c>
      <c r="M812" s="209">
        <f t="shared" si="883"/>
        <v>4970.5499999999993</v>
      </c>
      <c r="N812" s="209">
        <f t="shared" si="883"/>
        <v>5919.4500000000007</v>
      </c>
      <c r="O812" s="209">
        <f t="shared" si="883"/>
        <v>1523.55</v>
      </c>
      <c r="P812" s="209">
        <f t="shared" si="883"/>
        <v>119002.24999999999</v>
      </c>
      <c r="Q812" s="2"/>
      <c r="R812" s="236">
        <v>9.4998491999999999</v>
      </c>
      <c r="S812" s="236">
        <v>7.0589447999999999</v>
      </c>
      <c r="T812" s="236">
        <v>9.8096724000000002</v>
      </c>
      <c r="U812" s="236">
        <v>10.513054800000001</v>
      </c>
      <c r="V812" s="236">
        <v>12.732058799999999</v>
      </c>
      <c r="W812" s="236">
        <v>10.299527999999999</v>
      </c>
      <c r="X812" s="236">
        <v>8.3610395999999998</v>
      </c>
      <c r="Z812" s="199">
        <f>AA812*AB812</f>
        <v>822240.92600614368</v>
      </c>
      <c r="AA812">
        <v>8775.5</v>
      </c>
      <c r="AB812" s="90">
        <v>93.697330751084692</v>
      </c>
      <c r="AC812" s="216" t="s">
        <v>59</v>
      </c>
      <c r="AJ812" s="11" t="s">
        <v>17</v>
      </c>
      <c r="AK812" s="286">
        <f>IFERROR(J812*3.6/J829,"")</f>
        <v>0.37897130345074431</v>
      </c>
      <c r="AL812" s="286">
        <f t="shared" ref="AL812:AL824" si="884">IFERROR(K812*3.6/K829,"")</f>
        <v>0.51003513648154264</v>
      </c>
      <c r="AM812" s="286">
        <f t="shared" ref="AM812:AM824" si="885">IFERROR(L812*3.6/L829,"")</f>
        <v>0.36701009939913076</v>
      </c>
      <c r="AN812" s="286">
        <f t="shared" ref="AN812:AN824" si="886">IFERROR(M812*3.6/M829,"")</f>
        <v>0.34234797074739698</v>
      </c>
      <c r="AO812" s="286">
        <f t="shared" ref="AO812:AO824" si="887">IFERROR(N812*3.6/N829,"")</f>
        <v>0.28280815410649157</v>
      </c>
      <c r="AP812" s="286">
        <f t="shared" ref="AP812:AP821" si="888">IFERROR(O812*3.6/O829,"")</f>
        <v>0.34945598535146633</v>
      </c>
      <c r="AQ812" s="286">
        <f t="shared" ref="AQ812:AQ824" si="889">IFERROR(P812*3.6/P829,"")</f>
        <v>0.43057963884183692</v>
      </c>
    </row>
    <row r="813" spans="1:43" ht="15.6">
      <c r="A813" s="10" t="s">
        <v>18</v>
      </c>
      <c r="K813">
        <v>149.69999999999999</v>
      </c>
      <c r="L813">
        <v>31.5</v>
      </c>
      <c r="M813" s="177">
        <v>275.75</v>
      </c>
      <c r="N813" s="177">
        <v>1078.55</v>
      </c>
      <c r="O813" s="177">
        <v>1511.55</v>
      </c>
      <c r="P813" s="68">
        <f>SUM(J813:O813)</f>
        <v>3047.05</v>
      </c>
      <c r="Q813" s="2"/>
      <c r="R813" s="201"/>
      <c r="S813" s="201">
        <v>10.273999999999999</v>
      </c>
      <c r="T813" s="201">
        <v>9.0351143999999994</v>
      </c>
      <c r="U813" s="201">
        <v>9.5710248</v>
      </c>
      <c r="V813" s="201">
        <v>8.8130000000000006</v>
      </c>
      <c r="W813" s="201">
        <v>10.294499999999999</v>
      </c>
      <c r="X813" s="236">
        <v>9.6882552000000004</v>
      </c>
      <c r="Z813" s="199">
        <f>AA813*AB813</f>
        <v>4872.2611990564037</v>
      </c>
      <c r="AA813">
        <v>52</v>
      </c>
      <c r="AB813" s="90">
        <v>93.697330751084692</v>
      </c>
      <c r="AC813" s="216" t="s">
        <v>60</v>
      </c>
      <c r="AJ813" s="10" t="s">
        <v>18</v>
      </c>
      <c r="AK813" s="56" t="str">
        <f t="shared" ref="AK813:AK824" si="890">IFERROR(J813*3.6/J830,"")</f>
        <v/>
      </c>
      <c r="AL813" s="56">
        <f t="shared" si="884"/>
        <v>0.35039906560249173</v>
      </c>
      <c r="AM813" s="56">
        <f t="shared" si="885"/>
        <v>0.39844542532853822</v>
      </c>
      <c r="AN813" s="56">
        <f t="shared" si="886"/>
        <v>0.37613527027952121</v>
      </c>
      <c r="AO813" s="56">
        <f t="shared" si="887"/>
        <v>0.40848746170430045</v>
      </c>
      <c r="AP813" s="56">
        <f t="shared" si="888"/>
        <v>0.34970129680897571</v>
      </c>
      <c r="AQ813" s="286">
        <f t="shared" si="889"/>
        <v>0.37149397623218244</v>
      </c>
    </row>
    <row r="814" spans="1:43" ht="15.6">
      <c r="A814" s="10" t="s">
        <v>19</v>
      </c>
      <c r="K814">
        <v>283.3</v>
      </c>
      <c r="M814">
        <v>33.5</v>
      </c>
      <c r="N814">
        <v>28.1</v>
      </c>
      <c r="O814">
        <v>12</v>
      </c>
      <c r="P814" s="68">
        <f>SUM(J814:O814)</f>
        <v>356.90000000000003</v>
      </c>
      <c r="Q814" s="2"/>
      <c r="R814" s="201"/>
      <c r="S814" s="201">
        <v>12.769</v>
      </c>
      <c r="T814" s="201"/>
      <c r="U814" s="201">
        <v>17.203561199999999</v>
      </c>
      <c r="V814" s="201">
        <v>13.100490000000001</v>
      </c>
      <c r="W814" s="201">
        <v>11.212</v>
      </c>
      <c r="X814" s="236">
        <v>13.159112399999998</v>
      </c>
      <c r="Z814" s="199">
        <f>AA814*AB814</f>
        <v>0</v>
      </c>
      <c r="AA814">
        <v>0</v>
      </c>
      <c r="AB814" s="90">
        <v>101</v>
      </c>
      <c r="AC814" s="216" t="s">
        <v>61</v>
      </c>
      <c r="AJ814" s="10" t="s">
        <v>19</v>
      </c>
      <c r="AK814" s="56" t="str">
        <f t="shared" si="890"/>
        <v/>
      </c>
      <c r="AL814" s="56">
        <f t="shared" si="884"/>
        <v>0.28193280601456655</v>
      </c>
      <c r="AM814" s="56" t="str">
        <f t="shared" si="885"/>
        <v/>
      </c>
      <c r="AN814" s="56">
        <f t="shared" si="886"/>
        <v>0.20925899923557692</v>
      </c>
      <c r="AO814" s="56">
        <f t="shared" si="887"/>
        <v>0.27479888156855203</v>
      </c>
      <c r="AP814" s="56">
        <f t="shared" si="888"/>
        <v>0.32108455226542998</v>
      </c>
      <c r="AQ814" s="286">
        <f t="shared" si="889"/>
        <v>0.27357715530398152</v>
      </c>
    </row>
    <row r="815" spans="1:43" ht="15.6">
      <c r="A815" s="10" t="s">
        <v>20</v>
      </c>
      <c r="J815" s="177">
        <v>39604.35</v>
      </c>
      <c r="K815" s="177">
        <v>3561.15</v>
      </c>
      <c r="L815" s="177">
        <v>837.75</v>
      </c>
      <c r="M815" s="177">
        <v>4506.45</v>
      </c>
      <c r="N815" s="177">
        <v>3609.15</v>
      </c>
      <c r="P815" s="68">
        <f>SUM(J815:O815)</f>
        <v>52118.85</v>
      </c>
      <c r="Q815" s="2"/>
      <c r="R815" s="201">
        <v>9.4993999999999996</v>
      </c>
      <c r="S815" s="201">
        <v>9.8635000000000002</v>
      </c>
      <c r="T815" s="201">
        <v>9.8384999999999998</v>
      </c>
      <c r="U815" s="201">
        <v>10.521000000000001</v>
      </c>
      <c r="V815" s="201">
        <v>15.675000000000001</v>
      </c>
      <c r="W815" s="201"/>
      <c r="X815" s="236">
        <v>10.044133199999999</v>
      </c>
      <c r="Z815" s="199">
        <f>AA815*AB815</f>
        <v>16993.48</v>
      </c>
      <c r="AA815">
        <v>177.2</v>
      </c>
      <c r="AB815" s="274">
        <v>95.9</v>
      </c>
      <c r="AC815" s="216" t="s">
        <v>62</v>
      </c>
      <c r="AJ815" s="10" t="s">
        <v>20</v>
      </c>
      <c r="AK815" s="56">
        <f t="shared" si="890"/>
        <v>0.37897130345074431</v>
      </c>
      <c r="AL815" s="56">
        <f t="shared" si="884"/>
        <v>0.36498200435950734</v>
      </c>
      <c r="AM815" s="56">
        <f t="shared" si="885"/>
        <v>0.36590943741424004</v>
      </c>
      <c r="AN815" s="56">
        <f t="shared" si="886"/>
        <v>0.34217279726261762</v>
      </c>
      <c r="AO815" s="56">
        <f t="shared" si="887"/>
        <v>0.22966507177033493</v>
      </c>
      <c r="AP815" s="56" t="str">
        <f t="shared" si="888"/>
        <v/>
      </c>
      <c r="AQ815" s="286">
        <f t="shared" si="889"/>
        <v>0.35836185722793329</v>
      </c>
    </row>
    <row r="816" spans="1:43" ht="15.6">
      <c r="A816" s="10" t="s">
        <v>21</v>
      </c>
      <c r="K816" s="200">
        <v>61276.5</v>
      </c>
      <c r="L816">
        <v>85.4</v>
      </c>
      <c r="M816">
        <v>2.2000000000000002</v>
      </c>
      <c r="N816" s="177">
        <v>1203.6500000000001</v>
      </c>
      <c r="P816" s="68">
        <f>SUM(J816:O816)</f>
        <v>62567.75</v>
      </c>
      <c r="Q816" s="2"/>
      <c r="R816" s="201"/>
      <c r="S816" s="201">
        <v>6.8235000000000001</v>
      </c>
      <c r="T816" s="201">
        <v>9.8049999999999997</v>
      </c>
      <c r="U816" s="201">
        <v>28.424185199999997</v>
      </c>
      <c r="V816" s="201">
        <v>7.3980755999999994</v>
      </c>
      <c r="W816" s="201"/>
      <c r="X816" s="236">
        <v>6.8370443999999999</v>
      </c>
      <c r="AA816" s="68" t="s">
        <v>210</v>
      </c>
      <c r="AB816" s="90"/>
      <c r="AJ816" s="10" t="s">
        <v>21</v>
      </c>
      <c r="AK816" s="56" t="str">
        <f t="shared" si="890"/>
        <v/>
      </c>
      <c r="AL816" s="56">
        <f t="shared" si="884"/>
        <v>0.5275884809848318</v>
      </c>
      <c r="AM816" s="56">
        <f t="shared" si="885"/>
        <v>0.3671596124426314</v>
      </c>
      <c r="AN816" s="56">
        <f>IFERROR(M816*3.6/M833,"")</f>
        <v>0.12665270700530057</v>
      </c>
      <c r="AO816" s="56">
        <f t="shared" si="887"/>
        <v>0.48661303217826007</v>
      </c>
      <c r="AP816" s="56" t="str">
        <f t="shared" si="888"/>
        <v/>
      </c>
      <c r="AQ816" s="286">
        <f t="shared" si="889"/>
        <v>0.52636331177959483</v>
      </c>
    </row>
    <row r="817" spans="1:43" ht="15.6">
      <c r="A817" s="10" t="s">
        <v>23</v>
      </c>
      <c r="K817" s="177">
        <v>759.05</v>
      </c>
      <c r="M817" s="177">
        <v>152.65</v>
      </c>
      <c r="P817" s="68">
        <f>SUM(J817:O817)</f>
        <v>911.69999999999993</v>
      </c>
      <c r="Q817" s="2"/>
      <c r="R817" s="201"/>
      <c r="S817" s="201">
        <v>10.09</v>
      </c>
      <c r="T817" s="201"/>
      <c r="U817" s="201">
        <v>10.337209199999998</v>
      </c>
      <c r="V817" s="201"/>
      <c r="W817" s="201"/>
      <c r="X817" s="236">
        <v>10.132055999999999</v>
      </c>
      <c r="AA817">
        <v>24618.1</v>
      </c>
      <c r="AB817" s="90">
        <v>57.488105368569357</v>
      </c>
      <c r="AC817" s="216" t="s">
        <v>63</v>
      </c>
      <c r="AJ817" s="10" t="s">
        <v>23</v>
      </c>
      <c r="AK817" s="56" t="str">
        <f t="shared" si="890"/>
        <v/>
      </c>
      <c r="AL817" s="56">
        <f t="shared" si="884"/>
        <v>0.35678889990089196</v>
      </c>
      <c r="AM817" s="56" t="str">
        <f t="shared" si="885"/>
        <v/>
      </c>
      <c r="AN817" s="56">
        <f t="shared" si="886"/>
        <v>0.34825647138881555</v>
      </c>
      <c r="AO817" s="56" t="str">
        <f t="shared" si="887"/>
        <v/>
      </c>
      <c r="AP817" s="56" t="str">
        <f t="shared" si="888"/>
        <v/>
      </c>
      <c r="AQ817" s="286">
        <f t="shared" si="889"/>
        <v>0.35533125503729135</v>
      </c>
    </row>
    <row r="818" spans="1:43" ht="15.6">
      <c r="A818" s="11" t="s">
        <v>24</v>
      </c>
      <c r="J818" s="209">
        <f t="shared" ref="J818:P818" si="891">SUM(J819:J823)</f>
        <v>129.63999999999999</v>
      </c>
      <c r="K818" s="209">
        <f t="shared" si="891"/>
        <v>86706.700000000012</v>
      </c>
      <c r="L818" s="209">
        <f t="shared" si="891"/>
        <v>3776.7</v>
      </c>
      <c r="M818" s="209">
        <f t="shared" si="891"/>
        <v>4937.3</v>
      </c>
      <c r="N818" s="209">
        <f t="shared" si="891"/>
        <v>15314.7</v>
      </c>
      <c r="O818" s="209">
        <f t="shared" si="891"/>
        <v>602.80000000000007</v>
      </c>
      <c r="P818" s="209">
        <f t="shared" si="891"/>
        <v>111467.84</v>
      </c>
      <c r="Q818" s="2"/>
      <c r="R818" s="236">
        <v>6.2006508</v>
      </c>
      <c r="S818" s="236">
        <v>6.5146607999999997</v>
      </c>
      <c r="T818" s="236">
        <v>8.8634556</v>
      </c>
      <c r="U818" s="236">
        <v>7.6618440000000003</v>
      </c>
      <c r="V818" s="236">
        <v>8.8802027999999993</v>
      </c>
      <c r="W818" s="236">
        <v>8.390347199999999</v>
      </c>
      <c r="X818" s="236">
        <v>6.9793956000000001</v>
      </c>
      <c r="Z818" s="199"/>
      <c r="AA818" s="209" t="s">
        <v>237</v>
      </c>
      <c r="AB818" s="90"/>
      <c r="AJ818" s="11" t="s">
        <v>24</v>
      </c>
      <c r="AK818" s="286">
        <f t="shared" si="890"/>
        <v>0.58056687016837316</v>
      </c>
      <c r="AL818" s="286">
        <f t="shared" si="884"/>
        <v>0.55282763608296626</v>
      </c>
      <c r="AM818" s="286">
        <f t="shared" si="885"/>
        <v>0.40611368691594391</v>
      </c>
      <c r="AN818" s="286">
        <f t="shared" si="886"/>
        <v>0.47002039012596691</v>
      </c>
      <c r="AO818" s="286">
        <f t="shared" si="887"/>
        <v>0.4053118802898143</v>
      </c>
      <c r="AP818" s="286">
        <f t="shared" si="888"/>
        <v>0.42906885374928438</v>
      </c>
      <c r="AQ818" s="286">
        <f t="shared" si="889"/>
        <v>0.51591288069829488</v>
      </c>
    </row>
    <row r="819" spans="1:43" ht="15.6">
      <c r="A819" s="10" t="s">
        <v>25</v>
      </c>
      <c r="K819">
        <v>3898.9</v>
      </c>
      <c r="L819">
        <v>148</v>
      </c>
      <c r="M819">
        <v>68.3</v>
      </c>
      <c r="N819">
        <v>978.2</v>
      </c>
      <c r="O819">
        <v>503.8</v>
      </c>
      <c r="P819" s="68">
        <f>SUM(J819:O819)</f>
        <v>5597.2</v>
      </c>
      <c r="Q819" s="2"/>
      <c r="R819" s="201"/>
      <c r="S819" s="201">
        <v>6.5021003999999998</v>
      </c>
      <c r="T819" s="201">
        <v>9.1230371999999988</v>
      </c>
      <c r="U819" s="201">
        <v>6.3723095999999995</v>
      </c>
      <c r="V819" s="201">
        <v>7.1384939999999997</v>
      </c>
      <c r="W819" s="201">
        <v>7.7748875999999996</v>
      </c>
      <c r="X819" s="236">
        <v>6.7951763999999999</v>
      </c>
      <c r="Z819" s="199">
        <f>AA819*AB819</f>
        <v>11210.967198407834</v>
      </c>
      <c r="AA819">
        <v>56.9</v>
      </c>
      <c r="AB819" s="90">
        <v>197.02930049925894</v>
      </c>
      <c r="AC819" s="216" t="s">
        <v>154</v>
      </c>
      <c r="AJ819" s="10" t="s">
        <v>25</v>
      </c>
      <c r="AK819" s="56" t="str">
        <f t="shared" si="890"/>
        <v/>
      </c>
      <c r="AL819" s="56">
        <f t="shared" si="884"/>
        <v>0.55366724266515488</v>
      </c>
      <c r="AM819" s="56">
        <f t="shared" si="885"/>
        <v>0.39460542811334814</v>
      </c>
      <c r="AN819" s="56">
        <f t="shared" si="886"/>
        <v>0.56494430214125202</v>
      </c>
      <c r="AO819" s="56">
        <f t="shared" si="887"/>
        <v>0.50430805153019675</v>
      </c>
      <c r="AP819" s="56">
        <f t="shared" si="888"/>
        <v>0.46302920186267388</v>
      </c>
      <c r="AQ819" s="286">
        <f t="shared" si="889"/>
        <v>0.52975443028370783</v>
      </c>
    </row>
    <row r="820" spans="1:43" ht="15.6">
      <c r="A820" s="10" t="s">
        <v>26</v>
      </c>
      <c r="K820">
        <v>3306.4</v>
      </c>
      <c r="L820">
        <v>0.3</v>
      </c>
      <c r="M820">
        <v>528.79999999999995</v>
      </c>
      <c r="O820">
        <v>1.3</v>
      </c>
      <c r="P820" s="68">
        <f>SUM(J820:O820)</f>
        <v>3836.8</v>
      </c>
      <c r="Q820" s="2"/>
      <c r="R820" s="201"/>
      <c r="S820" s="201">
        <v>6.1169148</v>
      </c>
      <c r="T820" s="201">
        <v>4.8734351999999994</v>
      </c>
      <c r="U820" s="201">
        <v>6.5607156</v>
      </c>
      <c r="V820" s="201"/>
      <c r="W820" s="201">
        <v>6.4769795999999991</v>
      </c>
      <c r="X820" s="236">
        <v>6.1797167999999996</v>
      </c>
      <c r="Z820" s="199">
        <f>AA820*AB820</f>
        <v>161435.23831923329</v>
      </c>
      <c r="AA820">
        <v>627.20000000000005</v>
      </c>
      <c r="AB820" s="90">
        <v>257.3903672181653</v>
      </c>
      <c r="AC820" s="216" t="s">
        <v>155</v>
      </c>
      <c r="AJ820" s="10" t="s">
        <v>26</v>
      </c>
      <c r="AK820" s="56" t="str">
        <f t="shared" si="890"/>
        <v/>
      </c>
      <c r="AL820" s="56">
        <f t="shared" si="884"/>
        <v>0.58853198347637614</v>
      </c>
      <c r="AM820" s="56">
        <f t="shared" si="885"/>
        <v>0.73869864936338958</v>
      </c>
      <c r="AN820" s="56">
        <f t="shared" si="886"/>
        <v>0.54872063041415786</v>
      </c>
      <c r="AO820" s="56" t="str">
        <f t="shared" si="887"/>
        <v/>
      </c>
      <c r="AP820" s="56">
        <f t="shared" si="888"/>
        <v>0.55581462692888528</v>
      </c>
      <c r="AQ820" s="286">
        <f t="shared" si="889"/>
        <v>0.58270289093592809</v>
      </c>
    </row>
    <row r="821" spans="1:43" ht="15.6">
      <c r="A821" s="10" t="s">
        <v>27</v>
      </c>
      <c r="J821">
        <v>112.94</v>
      </c>
      <c r="K821" s="177">
        <v>77578.600000000006</v>
      </c>
      <c r="L821" s="177">
        <v>3552.7</v>
      </c>
      <c r="M821">
        <v>1791.2</v>
      </c>
      <c r="N821" s="177">
        <v>11221.7</v>
      </c>
      <c r="O821">
        <v>0.8</v>
      </c>
      <c r="P821" s="68">
        <f>SUM(J821:O821)</f>
        <v>94257.94</v>
      </c>
      <c r="Q821" s="2"/>
      <c r="R821" s="201">
        <v>6.4063999999999997</v>
      </c>
      <c r="S821" s="201">
        <v>6.4895350000000001</v>
      </c>
      <c r="T821" s="201">
        <v>8.6708628000000001</v>
      </c>
      <c r="U821" s="201">
        <v>6.7072536000000005</v>
      </c>
      <c r="V821" s="201">
        <v>7.2096695999999998</v>
      </c>
      <c r="W821" s="201">
        <v>21.093098399999999</v>
      </c>
      <c r="X821" s="236">
        <v>6.6611987999999993</v>
      </c>
      <c r="Z821" s="199">
        <f>AA821*AB821</f>
        <v>14231.922859206454</v>
      </c>
      <c r="AA821">
        <v>332.4</v>
      </c>
      <c r="AB821" s="90">
        <v>42.815652404351546</v>
      </c>
      <c r="AC821" s="216" t="s">
        <v>156</v>
      </c>
      <c r="AJ821" s="10" t="s">
        <v>27</v>
      </c>
      <c r="AK821" s="56">
        <f t="shared" si="890"/>
        <v>0.56193806193806195</v>
      </c>
      <c r="AL821" s="56">
        <f t="shared" si="884"/>
        <v>0.55473928409354445</v>
      </c>
      <c r="AM821" s="56">
        <f t="shared" si="885"/>
        <v>0.4151835962621851</v>
      </c>
      <c r="AN821" s="56">
        <f t="shared" si="886"/>
        <v>0.53673235197190106</v>
      </c>
      <c r="AO821" s="56">
        <f t="shared" si="887"/>
        <v>0.49932940061497405</v>
      </c>
      <c r="AP821" s="56">
        <f t="shared" si="888"/>
        <v>0.17067193883663864</v>
      </c>
      <c r="AQ821" s="286">
        <f t="shared" si="889"/>
        <v>0.54040682511310922</v>
      </c>
    </row>
    <row r="822" spans="1:43" ht="15.6">
      <c r="A822" s="10" t="s">
        <v>28</v>
      </c>
      <c r="J822">
        <v>16.7</v>
      </c>
      <c r="K822">
        <v>1201.5999999999999</v>
      </c>
      <c r="M822">
        <v>504.4</v>
      </c>
      <c r="N822">
        <v>681.8</v>
      </c>
      <c r="O822">
        <v>12.5</v>
      </c>
      <c r="P822" s="68">
        <f>SUM(J822:O822)</f>
        <v>2417</v>
      </c>
      <c r="Q822" s="2"/>
      <c r="R822" s="201">
        <v>4.8106331999999998</v>
      </c>
      <c r="S822" s="201">
        <v>7.6409099999999999</v>
      </c>
      <c r="T822" s="201"/>
      <c r="U822" s="201">
        <v>8.2312487999999995</v>
      </c>
      <c r="V822" s="201">
        <v>6.2257715999999999</v>
      </c>
      <c r="W822" s="201">
        <v>7.0505711999999994</v>
      </c>
      <c r="X822" s="236">
        <v>7.3436471999999995</v>
      </c>
      <c r="Z822" s="199">
        <f>AA822*AB822</f>
        <v>381.48</v>
      </c>
      <c r="AA822">
        <v>6.8</v>
      </c>
      <c r="AB822" s="90">
        <v>56.1</v>
      </c>
      <c r="AC822" s="217" t="s">
        <v>220</v>
      </c>
      <c r="AJ822" s="10" t="s">
        <v>28</v>
      </c>
      <c r="AK822" s="56">
        <f t="shared" si="890"/>
        <v>0.74834223486421703</v>
      </c>
      <c r="AL822" s="56">
        <f t="shared" si="884"/>
        <v>0.47114807005971809</v>
      </c>
      <c r="AM822" s="56" t="str">
        <f t="shared" si="885"/>
        <v/>
      </c>
      <c r="AN822" s="56">
        <f t="shared" si="886"/>
        <v>0.43735769474007397</v>
      </c>
      <c r="AO822" s="56">
        <f t="shared" si="887"/>
        <v>0.57824157892332573</v>
      </c>
      <c r="AP822" s="56">
        <f>IFERROR(O822*3.6/O839,"")</f>
        <v>0.51059692865735473</v>
      </c>
      <c r="AQ822" s="286">
        <f t="shared" si="889"/>
        <v>0.49030899465335487</v>
      </c>
    </row>
    <row r="823" spans="1:43" ht="15.6">
      <c r="A823" s="10" t="s">
        <v>29</v>
      </c>
      <c r="K823">
        <v>721.2</v>
      </c>
      <c r="L823">
        <v>75.7</v>
      </c>
      <c r="M823">
        <v>2044.6</v>
      </c>
      <c r="N823">
        <v>2433</v>
      </c>
      <c r="O823">
        <v>84.4</v>
      </c>
      <c r="P823" s="68">
        <f>SUM(J823:O823)</f>
        <v>5358.9</v>
      </c>
      <c r="Q823" s="2"/>
      <c r="R823" s="201"/>
      <c r="S823" s="201">
        <v>8.9095104000000003</v>
      </c>
      <c r="T823" s="201">
        <v>17.4631428</v>
      </c>
      <c r="U823" s="201">
        <v>8.6792363999999989</v>
      </c>
      <c r="V823" s="201">
        <v>18.0409212</v>
      </c>
      <c r="W823" s="201">
        <v>12.1710276</v>
      </c>
      <c r="X823" s="236">
        <v>13.138178399999999</v>
      </c>
      <c r="AA823" s="209" t="s">
        <v>238</v>
      </c>
      <c r="AB823" s="90"/>
      <c r="AJ823" s="10" t="s">
        <v>29</v>
      </c>
      <c r="AK823" s="56" t="str">
        <f t="shared" si="890"/>
        <v/>
      </c>
      <c r="AL823" s="56">
        <f t="shared" si="884"/>
        <v>0.40406260707659086</v>
      </c>
      <c r="AM823" s="56">
        <f t="shared" si="885"/>
        <v>0.20614846028745756</v>
      </c>
      <c r="AN823" s="56">
        <f t="shared" si="886"/>
        <v>0.41478303321706966</v>
      </c>
      <c r="AO823" s="56">
        <f t="shared" si="887"/>
        <v>0.19954635132489801</v>
      </c>
      <c r="AP823" s="56">
        <f>IFERROR(O823*3.6/O840,"")</f>
        <v>0.29578439210835411</v>
      </c>
      <c r="AQ823" s="286">
        <f t="shared" si="889"/>
        <v>0.27398071305549881</v>
      </c>
    </row>
    <row r="824" spans="1:43" ht="15.6">
      <c r="A824" s="11" t="s">
        <v>10</v>
      </c>
      <c r="J824" s="209">
        <f t="shared" ref="J824:P824" si="892">J812+J818</f>
        <v>39733.99</v>
      </c>
      <c r="K824" s="209">
        <f t="shared" si="892"/>
        <v>152736.40000000002</v>
      </c>
      <c r="L824" s="209">
        <f t="shared" si="892"/>
        <v>4731.3499999999995</v>
      </c>
      <c r="M824" s="209">
        <f t="shared" si="892"/>
        <v>9907.8499999999985</v>
      </c>
      <c r="N824" s="209">
        <f t="shared" si="892"/>
        <v>21234.15</v>
      </c>
      <c r="O824" s="209">
        <f t="shared" si="892"/>
        <v>2126.35</v>
      </c>
      <c r="P824" s="209">
        <f t="shared" si="892"/>
        <v>230470.08999999997</v>
      </c>
      <c r="Q824" s="2"/>
      <c r="R824" s="236">
        <v>9.4872888</v>
      </c>
      <c r="S824" s="236">
        <v>6.7491216000000005</v>
      </c>
      <c r="T824" s="236">
        <v>9.0560483999999981</v>
      </c>
      <c r="U824" s="236">
        <v>9.0937295999999996</v>
      </c>
      <c r="V824" s="236">
        <v>9.9562103999999998</v>
      </c>
      <c r="W824" s="236">
        <v>9.7594307999999987</v>
      </c>
      <c r="X824" s="236">
        <v>7.6911515999999995</v>
      </c>
      <c r="Z824" s="199">
        <f t="shared" ref="Z824:Z830" si="893">AA824*AB824</f>
        <v>42.9</v>
      </c>
      <c r="AA824">
        <v>0.6</v>
      </c>
      <c r="AB824" s="90">
        <v>71.5</v>
      </c>
      <c r="AC824" s="216" t="s">
        <v>66</v>
      </c>
      <c r="AJ824" s="11" t="s">
        <v>10</v>
      </c>
      <c r="AK824" s="286">
        <f t="shared" si="890"/>
        <v>0.37940114085475474</v>
      </c>
      <c r="AL824" s="286">
        <f t="shared" si="884"/>
        <v>0.5334776540442806</v>
      </c>
      <c r="AM824" s="286">
        <f t="shared" si="885"/>
        <v>0.39756680306374076</v>
      </c>
      <c r="AN824" s="286">
        <f t="shared" si="886"/>
        <v>0.39594280594202974</v>
      </c>
      <c r="AO824" s="286">
        <f t="shared" si="887"/>
        <v>0.36164193646030268</v>
      </c>
      <c r="AP824" s="286">
        <f>IFERROR(O824*3.6/O841,"")</f>
        <v>0.36885833728268586</v>
      </c>
      <c r="AQ824" s="286">
        <f t="shared" si="889"/>
        <v>0.46802011910844188</v>
      </c>
    </row>
    <row r="825" spans="1:43">
      <c r="P825" s="68">
        <f>P818/11.63</f>
        <v>9584.5090283748923</v>
      </c>
      <c r="Z825" s="199">
        <f t="shared" si="893"/>
        <v>11920.14829406334</v>
      </c>
      <c r="AA825">
        <v>118.4</v>
      </c>
      <c r="AB825" s="90">
        <v>100.67692815931875</v>
      </c>
      <c r="AC825" s="216" t="s">
        <v>67</v>
      </c>
    </row>
    <row r="826" spans="1:43">
      <c r="Z826" s="199">
        <f t="shared" si="893"/>
        <v>731.96</v>
      </c>
      <c r="AA826">
        <v>11.6</v>
      </c>
      <c r="AB826" s="90">
        <v>63.1</v>
      </c>
      <c r="AC826" s="216" t="s">
        <v>69</v>
      </c>
    </row>
    <row r="827" spans="1:43">
      <c r="A827" s="68" t="str">
        <f>$A$810</f>
        <v>Dati 2010 lorda</v>
      </c>
      <c r="J827" s="68" t="s">
        <v>189</v>
      </c>
      <c r="R827" s="198"/>
      <c r="Z827" s="199">
        <f t="shared" si="893"/>
        <v>19978.013259597545</v>
      </c>
      <c r="AA827">
        <v>352.2</v>
      </c>
      <c r="AB827" s="90">
        <v>56.723490231679577</v>
      </c>
      <c r="AC827" s="216" t="s">
        <v>70</v>
      </c>
    </row>
    <row r="828" spans="1:43">
      <c r="J828" s="210" t="s">
        <v>5</v>
      </c>
      <c r="K828" s="210" t="s">
        <v>210</v>
      </c>
      <c r="L828" s="210" t="s">
        <v>211</v>
      </c>
      <c r="M828" s="210" t="s">
        <v>214</v>
      </c>
      <c r="N828" s="210" t="s">
        <v>216</v>
      </c>
      <c r="O828" s="210" t="s">
        <v>215</v>
      </c>
      <c r="P828" s="210" t="s">
        <v>213</v>
      </c>
      <c r="R828" s="68" t="s">
        <v>234</v>
      </c>
      <c r="Z828" s="199">
        <f t="shared" si="893"/>
        <v>10455.509999999998</v>
      </c>
      <c r="AA828">
        <v>141.1</v>
      </c>
      <c r="AB828" s="90">
        <v>74.099999999999994</v>
      </c>
      <c r="AC828" s="216" t="s">
        <v>71</v>
      </c>
      <c r="AJ828" s="68"/>
    </row>
    <row r="829" spans="1:43">
      <c r="A829" s="11" t="s">
        <v>17</v>
      </c>
      <c r="J829" s="209">
        <f t="shared" ref="J829:O829" si="894">SUM(J830:J834)</f>
        <v>376217.56238999998</v>
      </c>
      <c r="K829" s="209">
        <f t="shared" si="894"/>
        <v>466059.89077499998</v>
      </c>
      <c r="L829" s="209">
        <f t="shared" si="894"/>
        <v>9364.1564785999981</v>
      </c>
      <c r="M829" s="209">
        <f t="shared" si="894"/>
        <v>52268.398030620003</v>
      </c>
      <c r="N829" s="209">
        <f t="shared" si="894"/>
        <v>75351.504864940012</v>
      </c>
      <c r="O829" s="209">
        <f t="shared" si="894"/>
        <v>15695.195474999999</v>
      </c>
      <c r="P829" s="212">
        <f t="shared" ref="P829:P840" si="895">SUM(J829:O829)</f>
        <v>994956.70801415993</v>
      </c>
      <c r="Q829" s="198"/>
      <c r="R829" s="209">
        <f t="shared" ref="R829:W829" si="896">SUM(R830:R834)</f>
        <v>35.267207864269302</v>
      </c>
      <c r="S829" s="209">
        <f t="shared" si="896"/>
        <v>27.006490187614173</v>
      </c>
      <c r="T829" s="209">
        <f t="shared" si="896"/>
        <v>1.7136318494869947</v>
      </c>
      <c r="U829" s="209">
        <f t="shared" si="896"/>
        <v>3.8993341403293424</v>
      </c>
      <c r="V829" s="209">
        <f t="shared" si="896"/>
        <v>4.2843136831732807</v>
      </c>
      <c r="W829" s="209">
        <f t="shared" si="896"/>
        <v>4.7010573428824899E-2</v>
      </c>
      <c r="X829" s="220">
        <f t="shared" ref="X829:X840" si="897">SUM(R829:W829)</f>
        <v>72.217988298301904</v>
      </c>
      <c r="Z829" s="199">
        <f t="shared" si="893"/>
        <v>874.38</v>
      </c>
      <c r="AA829">
        <v>11.8</v>
      </c>
      <c r="AB829" s="90">
        <v>74.099999999999994</v>
      </c>
      <c r="AC829" s="216" t="s">
        <v>72</v>
      </c>
      <c r="AJ829" s="68"/>
    </row>
    <row r="830" spans="1:43">
      <c r="A830" s="10" t="s">
        <v>18</v>
      </c>
      <c r="J830" s="197">
        <f t="shared" ref="J830:O834" si="898">IFERROR(J813*R813,"")</f>
        <v>0</v>
      </c>
      <c r="K830" s="197">
        <f t="shared" si="898"/>
        <v>1538.0177999999999</v>
      </c>
      <c r="L830" s="197">
        <f t="shared" si="898"/>
        <v>284.60610359999998</v>
      </c>
      <c r="M830" s="197">
        <f t="shared" si="898"/>
        <v>2639.2100885999998</v>
      </c>
      <c r="N830" s="197">
        <f t="shared" si="898"/>
        <v>9505.2611500000003</v>
      </c>
      <c r="O830" s="197">
        <f t="shared" si="898"/>
        <v>15560.651474999999</v>
      </c>
      <c r="P830" s="212">
        <f t="shared" si="895"/>
        <v>29527.746617199999</v>
      </c>
      <c r="Q830" s="198"/>
      <c r="R830" s="211">
        <f t="shared" ref="R830:W830" si="899">J830*J844/1000000</f>
        <v>0</v>
      </c>
      <c r="S830" s="211">
        <f t="shared" si="899"/>
        <v>8.9122585844076674E-2</v>
      </c>
      <c r="T830" s="211">
        <f t="shared" si="899"/>
        <v>5.2082649921744044E-2</v>
      </c>
      <c r="U830" s="211">
        <f t="shared" si="899"/>
        <v>0.1968907100606147</v>
      </c>
      <c r="V830" s="211">
        <f t="shared" si="899"/>
        <v>0.54044734050200072</v>
      </c>
      <c r="W830" s="211">
        <f t="shared" si="899"/>
        <v>4.6607584463094431E-2</v>
      </c>
      <c r="X830" s="220">
        <f t="shared" si="897"/>
        <v>0.92515087079153058</v>
      </c>
      <c r="Z830" s="199">
        <f t="shared" si="893"/>
        <v>116516.94633447606</v>
      </c>
      <c r="AA830">
        <v>1515.8999999999999</v>
      </c>
      <c r="AB830" s="90">
        <v>76.863214152962641</v>
      </c>
      <c r="AC830" s="233" t="s">
        <v>73</v>
      </c>
      <c r="AJ830" s="68"/>
    </row>
    <row r="831" spans="1:43">
      <c r="A831" s="10" t="s">
        <v>19</v>
      </c>
      <c r="J831" s="197">
        <f t="shared" si="898"/>
        <v>0</v>
      </c>
      <c r="K831" s="197">
        <f t="shared" si="898"/>
        <v>3617.4577000000004</v>
      </c>
      <c r="L831" s="197">
        <f t="shared" si="898"/>
        <v>0</v>
      </c>
      <c r="M831" s="197">
        <f t="shared" si="898"/>
        <v>576.31930019999993</v>
      </c>
      <c r="N831" s="197">
        <f t="shared" si="898"/>
        <v>368.12376900000004</v>
      </c>
      <c r="O831" s="197">
        <f t="shared" si="898"/>
        <v>134.54399999999998</v>
      </c>
      <c r="P831" s="212">
        <f t="shared" si="895"/>
        <v>4696.4447692000003</v>
      </c>
      <c r="Q831" s="198"/>
      <c r="R831" s="211">
        <f t="shared" ref="R831:W831" si="900">J831*J844/1000000</f>
        <v>0</v>
      </c>
      <c r="S831" s="211">
        <f t="shared" si="900"/>
        <v>0.20961863016511656</v>
      </c>
      <c r="T831" s="211">
        <f t="shared" si="900"/>
        <v>0</v>
      </c>
      <c r="U831" s="211">
        <f t="shared" si="900"/>
        <v>4.2994650834412007E-2</v>
      </c>
      <c r="V831" s="211">
        <f t="shared" si="900"/>
        <v>2.0930672897043218E-2</v>
      </c>
      <c r="W831" s="211">
        <f t="shared" si="900"/>
        <v>4.0298896573047097E-4</v>
      </c>
      <c r="X831" s="220">
        <f t="shared" si="897"/>
        <v>0.27394694286230226</v>
      </c>
      <c r="AB831" s="90"/>
      <c r="AC831" s="216" t="s">
        <v>74</v>
      </c>
      <c r="AJ831" s="68"/>
    </row>
    <row r="832" spans="1:43">
      <c r="A832" s="10" t="s">
        <v>20</v>
      </c>
      <c r="J832" s="197">
        <f t="shared" si="898"/>
        <v>376217.56238999998</v>
      </c>
      <c r="K832" s="197">
        <f t="shared" si="898"/>
        <v>35125.403025</v>
      </c>
      <c r="L832" s="197">
        <f t="shared" si="898"/>
        <v>8242.2033749999991</v>
      </c>
      <c r="M832" s="197">
        <f t="shared" si="898"/>
        <v>47412.36045</v>
      </c>
      <c r="N832" s="197">
        <f t="shared" si="898"/>
        <v>56573.426250000004</v>
      </c>
      <c r="O832" s="197">
        <f t="shared" si="898"/>
        <v>0</v>
      </c>
      <c r="P832" s="212">
        <f t="shared" si="895"/>
        <v>523570.95548999996</v>
      </c>
      <c r="Q832" s="198"/>
      <c r="R832" s="208">
        <f t="shared" ref="R832:W832" si="901">J832*J844/1000000</f>
        <v>35.267207864269302</v>
      </c>
      <c r="S832" s="211">
        <f t="shared" si="901"/>
        <v>2.0353904528304896</v>
      </c>
      <c r="T832" s="211">
        <f t="shared" si="901"/>
        <v>1.5083154842219</v>
      </c>
      <c r="U832" s="211">
        <f t="shared" si="901"/>
        <v>3.5370633641379401</v>
      </c>
      <c r="V832" s="211">
        <f t="shared" si="901"/>
        <v>3.2166352167923948</v>
      </c>
      <c r="W832" s="211">
        <f t="shared" si="901"/>
        <v>0</v>
      </c>
      <c r="X832" s="220">
        <f t="shared" si="897"/>
        <v>45.564612382252037</v>
      </c>
      <c r="AB832" s="90"/>
      <c r="AC832" s="216" t="s">
        <v>75</v>
      </c>
      <c r="AJ832" s="68"/>
    </row>
    <row r="833" spans="1:43">
      <c r="A833" s="10" t="s">
        <v>21</v>
      </c>
      <c r="J833" s="197">
        <f t="shared" si="898"/>
        <v>0</v>
      </c>
      <c r="K833" s="197">
        <f t="shared" si="898"/>
        <v>418120.19774999999</v>
      </c>
      <c r="L833" s="197">
        <f t="shared" si="898"/>
        <v>837.34699999999998</v>
      </c>
      <c r="M833" s="197">
        <f t="shared" si="898"/>
        <v>62.533207439999998</v>
      </c>
      <c r="N833" s="197">
        <f t="shared" si="898"/>
        <v>8904.6936959399991</v>
      </c>
      <c r="O833" s="197">
        <f t="shared" si="898"/>
        <v>0</v>
      </c>
      <c r="P833" s="212">
        <f t="shared" si="895"/>
        <v>427924.77165338001</v>
      </c>
      <c r="Q833" s="198"/>
      <c r="R833" s="211">
        <f t="shared" ref="R833:W833" si="902">J833*J844/1000000</f>
        <v>0</v>
      </c>
      <c r="S833" s="211">
        <f t="shared" si="902"/>
        <v>24.228557834061927</v>
      </c>
      <c r="T833" s="211">
        <f t="shared" si="902"/>
        <v>0.15323371534335081</v>
      </c>
      <c r="U833" s="211">
        <f t="shared" si="902"/>
        <v>4.6651108482843326E-3</v>
      </c>
      <c r="V833" s="211">
        <f t="shared" si="902"/>
        <v>0.5063004529818419</v>
      </c>
      <c r="W833" s="211">
        <f t="shared" si="902"/>
        <v>0</v>
      </c>
      <c r="X833" s="220">
        <f t="shared" si="897"/>
        <v>24.892757113235405</v>
      </c>
      <c r="Z833" s="199"/>
      <c r="AA833" s="209" t="s">
        <v>239</v>
      </c>
      <c r="AB833" s="90"/>
      <c r="AJ833" s="68" t="s">
        <v>289</v>
      </c>
    </row>
    <row r="834" spans="1:43">
      <c r="A834" s="10" t="s">
        <v>23</v>
      </c>
      <c r="J834" s="197">
        <f t="shared" si="898"/>
        <v>0</v>
      </c>
      <c r="K834" s="197">
        <f t="shared" si="898"/>
        <v>7658.8144999999995</v>
      </c>
      <c r="L834" s="197">
        <f t="shared" si="898"/>
        <v>0</v>
      </c>
      <c r="M834" s="197">
        <f t="shared" si="898"/>
        <v>1577.9749843799998</v>
      </c>
      <c r="N834" s="197">
        <f t="shared" si="898"/>
        <v>0</v>
      </c>
      <c r="O834" s="197">
        <f t="shared" si="898"/>
        <v>0</v>
      </c>
      <c r="P834" s="212">
        <f t="shared" si="895"/>
        <v>9236.7894843799986</v>
      </c>
      <c r="Q834" s="198"/>
      <c r="R834" s="211">
        <f t="shared" ref="R834:W834" si="903">J834*J844/1000000</f>
        <v>0</v>
      </c>
      <c r="S834" s="211">
        <f t="shared" si="903"/>
        <v>0.44380068471256262</v>
      </c>
      <c r="T834" s="211">
        <f t="shared" si="903"/>
        <v>0</v>
      </c>
      <c r="U834" s="211">
        <f t="shared" si="903"/>
        <v>0.11772030444809115</v>
      </c>
      <c r="V834" s="211">
        <f t="shared" si="903"/>
        <v>0</v>
      </c>
      <c r="W834" s="211">
        <f t="shared" si="903"/>
        <v>0</v>
      </c>
      <c r="X834" s="220">
        <f t="shared" si="897"/>
        <v>0.56152098916065374</v>
      </c>
      <c r="Z834" s="199">
        <f t="shared" ref="Z834:Z849" si="904">AA834*AB834</f>
        <v>0</v>
      </c>
      <c r="AA834">
        <v>0</v>
      </c>
      <c r="AB834" s="90">
        <v>63.1</v>
      </c>
      <c r="AC834" s="217" t="s">
        <v>219</v>
      </c>
    </row>
    <row r="835" spans="1:43">
      <c r="A835" s="11" t="s">
        <v>24</v>
      </c>
      <c r="J835" s="209">
        <f t="shared" ref="J835:O835" si="905">SUM(J836:J840)</f>
        <v>803.87639044000002</v>
      </c>
      <c r="K835" s="209">
        <f t="shared" si="905"/>
        <v>564631.90265176003</v>
      </c>
      <c r="L835" s="209">
        <f t="shared" si="905"/>
        <v>33478.605715680002</v>
      </c>
      <c r="M835" s="209">
        <f t="shared" si="905"/>
        <v>37815.976441439998</v>
      </c>
      <c r="N835" s="209">
        <f t="shared" si="905"/>
        <v>136025.91653760002</v>
      </c>
      <c r="O835" s="209">
        <f t="shared" si="905"/>
        <v>5057.6497945200008</v>
      </c>
      <c r="P835" s="212">
        <f t="shared" si="895"/>
        <v>777813.92753144004</v>
      </c>
      <c r="Q835" s="198"/>
      <c r="R835" s="209">
        <f t="shared" ref="R835:W835" si="906">SUM(R836:R840)</f>
        <v>7.5356598396746077E-2</v>
      </c>
      <c r="S835" s="209">
        <f t="shared" si="906"/>
        <v>32.718382852516939</v>
      </c>
      <c r="T835" s="209">
        <f t="shared" si="906"/>
        <v>6.1265534340348582</v>
      </c>
      <c r="U835" s="209">
        <f t="shared" si="906"/>
        <v>2.8211526188656748</v>
      </c>
      <c r="V835" s="209">
        <f t="shared" si="906"/>
        <v>7.7341215219629227</v>
      </c>
      <c r="W835" s="209">
        <f t="shared" si="906"/>
        <v>1.5148777052269474E-2</v>
      </c>
      <c r="X835" s="220">
        <f t="shared" si="897"/>
        <v>49.490715802829406</v>
      </c>
      <c r="Z835" s="199">
        <f t="shared" si="904"/>
        <v>1220.1063550452</v>
      </c>
      <c r="AA835">
        <v>12.9</v>
      </c>
      <c r="AB835" s="90">
        <v>94.581887987999991</v>
      </c>
      <c r="AC835" s="217" t="s">
        <v>222</v>
      </c>
      <c r="AJ835" s="11" t="s">
        <v>24</v>
      </c>
      <c r="AK835" s="286">
        <f t="shared" ref="AK835:AK840" si="907">IFERROR(((J818/11.63)+J852)/J858,"")</f>
        <v>0.77208548955652923</v>
      </c>
      <c r="AL835" s="286">
        <f t="shared" ref="AL835:AL840" si="908">IFERROR(((K818/11.63)+K852)/K858,"")</f>
        <v>0.62219601972117611</v>
      </c>
      <c r="AM835" s="286">
        <f t="shared" ref="AM835:AM840" si="909">IFERROR(((L818/11.63)+L852)/L858,"")</f>
        <v>0.42153834165919912</v>
      </c>
      <c r="AN835" s="286">
        <f t="shared" ref="AN835:AN840" si="910">IFERROR(((M818/11.63)+M852)/M858,"")</f>
        <v>0.72294401994815727</v>
      </c>
      <c r="AO835" s="286">
        <f t="shared" ref="AO835:AO840" si="911">IFERROR(((N818/11.63)+N852)/N858,"")</f>
        <v>0.47778841494519503</v>
      </c>
      <c r="AP835" s="286">
        <f t="shared" ref="AP835:AP840" si="912">IFERROR(((O818/11.63)+O852)/O858,"")</f>
        <v>0.51525157374342456</v>
      </c>
      <c r="AQ835" s="286">
        <f t="shared" ref="AQ835:AQ840" si="913">IFERROR(((P818/11.63)+P852)/P858,"")</f>
        <v>0.6009120884533764</v>
      </c>
    </row>
    <row r="836" spans="1:43">
      <c r="A836" s="10" t="s">
        <v>25</v>
      </c>
      <c r="J836" s="197">
        <f t="shared" ref="J836:O840" si="914">IFERROR(J819*R819,"")</f>
        <v>0</v>
      </c>
      <c r="K836" s="197">
        <f t="shared" si="914"/>
        <v>25351.039249559999</v>
      </c>
      <c r="L836" s="197">
        <f t="shared" si="914"/>
        <v>1350.2095055999998</v>
      </c>
      <c r="M836" s="197">
        <f t="shared" si="914"/>
        <v>435.22874567999992</v>
      </c>
      <c r="N836" s="197">
        <f t="shared" si="914"/>
        <v>6982.8748308000004</v>
      </c>
      <c r="O836" s="197">
        <f t="shared" si="914"/>
        <v>3916.98837288</v>
      </c>
      <c r="P836" s="212">
        <f t="shared" si="895"/>
        <v>38036.34070452</v>
      </c>
      <c r="Q836" s="198"/>
      <c r="R836" s="211">
        <f t="shared" ref="R836:W836" si="915">J836*J844/1000000</f>
        <v>0</v>
      </c>
      <c r="S836" s="211">
        <f t="shared" si="915"/>
        <v>1.469001315690539</v>
      </c>
      <c r="T836" s="211">
        <f t="shared" si="915"/>
        <v>0.24708707266521146</v>
      </c>
      <c r="U836" s="211">
        <f t="shared" si="915"/>
        <v>3.2468994092540199E-2</v>
      </c>
      <c r="V836" s="211">
        <f t="shared" si="915"/>
        <v>0.39703024165350981</v>
      </c>
      <c r="W836" s="211">
        <f t="shared" si="915"/>
        <v>1.173224441941069E-2</v>
      </c>
      <c r="X836" s="220">
        <f t="shared" si="897"/>
        <v>2.1573198685212112</v>
      </c>
      <c r="Z836" s="199">
        <f t="shared" si="904"/>
        <v>20649.646364818225</v>
      </c>
      <c r="AA836">
        <v>410.7</v>
      </c>
      <c r="AB836" s="90">
        <v>50.279148684729059</v>
      </c>
      <c r="AC836" s="217" t="s">
        <v>223</v>
      </c>
      <c r="AJ836" s="10" t="s">
        <v>25</v>
      </c>
      <c r="AK836" s="56" t="str">
        <f t="shared" si="907"/>
        <v/>
      </c>
      <c r="AL836" s="56">
        <f t="shared" si="908"/>
        <v>0.68807995963564428</v>
      </c>
      <c r="AM836" s="56">
        <f t="shared" si="909"/>
        <v>0.41619315644845645</v>
      </c>
      <c r="AN836" s="56">
        <f t="shared" si="910"/>
        <v>0.63770168428506402</v>
      </c>
      <c r="AO836" s="56">
        <f t="shared" si="911"/>
        <v>0.59415476775303155</v>
      </c>
      <c r="AP836" s="56">
        <f t="shared" si="912"/>
        <v>0.53362373219160919</v>
      </c>
      <c r="AQ836" s="286">
        <f t="shared" si="913"/>
        <v>0.65350725267726539</v>
      </c>
    </row>
    <row r="837" spans="1:43">
      <c r="A837" s="10" t="s">
        <v>26</v>
      </c>
      <c r="J837" s="197">
        <f t="shared" si="914"/>
        <v>0</v>
      </c>
      <c r="K837" s="197">
        <f t="shared" si="914"/>
        <v>20224.967094719999</v>
      </c>
      <c r="L837" s="197">
        <f t="shared" si="914"/>
        <v>1.4620305599999999</v>
      </c>
      <c r="M837" s="197">
        <f t="shared" si="914"/>
        <v>3469.3064092799996</v>
      </c>
      <c r="N837" s="197">
        <f t="shared" si="914"/>
        <v>0</v>
      </c>
      <c r="O837" s="197">
        <f t="shared" si="914"/>
        <v>8.4200734799999992</v>
      </c>
      <c r="P837" s="212">
        <f t="shared" si="895"/>
        <v>23704.155608040001</v>
      </c>
      <c r="Q837" s="198"/>
      <c r="R837" s="211">
        <f t="shared" ref="R837:W837" si="916">J837*J844/1000000</f>
        <v>0</v>
      </c>
      <c r="S837" s="211">
        <f t="shared" si="916"/>
        <v>1.1719639175130543</v>
      </c>
      <c r="T837" s="211">
        <f t="shared" si="916"/>
        <v>2.6755022070219363E-4</v>
      </c>
      <c r="U837" s="211">
        <f t="shared" si="916"/>
        <v>0.25881766870000317</v>
      </c>
      <c r="V837" s="211">
        <f t="shared" si="916"/>
        <v>0</v>
      </c>
      <c r="W837" s="211">
        <f t="shared" si="916"/>
        <v>2.5219977874002317E-5</v>
      </c>
      <c r="X837" s="220">
        <f t="shared" si="897"/>
        <v>1.4310743564116337</v>
      </c>
      <c r="Z837" s="199">
        <f t="shared" si="904"/>
        <v>174566.58217688787</v>
      </c>
      <c r="AA837">
        <v>1878</v>
      </c>
      <c r="AB837" s="90">
        <v>92.953451638385445</v>
      </c>
      <c r="AC837" s="217" t="s">
        <v>236</v>
      </c>
      <c r="AJ837" s="10" t="s">
        <v>26</v>
      </c>
      <c r="AK837" s="56" t="str">
        <f t="shared" si="907"/>
        <v/>
      </c>
      <c r="AL837" s="56">
        <f t="shared" si="908"/>
        <v>0.73801561453965503</v>
      </c>
      <c r="AM837" s="56">
        <f t="shared" si="909"/>
        <v>0.25795356835769556</v>
      </c>
      <c r="AN837" s="56">
        <f t="shared" si="910"/>
        <v>0.72444816213274843</v>
      </c>
      <c r="AO837" s="56" t="str">
        <f t="shared" si="911"/>
        <v/>
      </c>
      <c r="AP837" s="56">
        <f t="shared" si="912"/>
        <v>0.77944969905417016</v>
      </c>
      <c r="AQ837" s="286">
        <f t="shared" si="913"/>
        <v>0.73594977967440633</v>
      </c>
    </row>
    <row r="838" spans="1:43">
      <c r="A838" s="10" t="s">
        <v>27</v>
      </c>
      <c r="J838" s="197">
        <f t="shared" si="914"/>
        <v>723.538816</v>
      </c>
      <c r="K838" s="197">
        <f t="shared" si="914"/>
        <v>503449.03995100001</v>
      </c>
      <c r="L838" s="197">
        <f t="shared" si="914"/>
        <v>30804.97426956</v>
      </c>
      <c r="M838" s="197">
        <f t="shared" si="914"/>
        <v>12014.032648320001</v>
      </c>
      <c r="N838" s="197">
        <f t="shared" si="914"/>
        <v>80904.749350320009</v>
      </c>
      <c r="O838" s="197">
        <f t="shared" si="914"/>
        <v>16.874478719999999</v>
      </c>
      <c r="P838" s="212">
        <f t="shared" si="895"/>
        <v>627913.20951391989</v>
      </c>
      <c r="Q838" s="198"/>
      <c r="R838" s="208">
        <f t="shared" ref="R838:W838" si="917">J838*J844/1000000</f>
        <v>6.7825631689376872E-2</v>
      </c>
      <c r="S838" s="211">
        <f t="shared" si="917"/>
        <v>29.173056567453891</v>
      </c>
      <c r="T838" s="211">
        <f t="shared" si="917"/>
        <v>5.6372813879801358</v>
      </c>
      <c r="U838" s="211">
        <f t="shared" si="917"/>
        <v>0.89627249798590847</v>
      </c>
      <c r="V838" s="211">
        <f t="shared" si="917"/>
        <v>4.6000584234722917</v>
      </c>
      <c r="W838" s="211">
        <f t="shared" si="917"/>
        <v>5.0542786944149444E-5</v>
      </c>
      <c r="X838" s="220">
        <f t="shared" si="897"/>
        <v>40.37454505136855</v>
      </c>
      <c r="Z838" s="199">
        <f t="shared" si="904"/>
        <v>0</v>
      </c>
      <c r="AA838">
        <v>66.900000000000006</v>
      </c>
      <c r="AB838" s="90">
        <v>0</v>
      </c>
      <c r="AC838" s="216" t="s">
        <v>224</v>
      </c>
      <c r="AJ838" s="10" t="s">
        <v>27</v>
      </c>
      <c r="AK838" s="56">
        <f t="shared" si="907"/>
        <v>0.74367968263067141</v>
      </c>
      <c r="AL838" s="56">
        <f t="shared" si="908"/>
        <v>0.6054654064087468</v>
      </c>
      <c r="AM838" s="56">
        <f t="shared" si="909"/>
        <v>0.42922018756792724</v>
      </c>
      <c r="AN838" s="56">
        <f t="shared" si="910"/>
        <v>0.74397469711194708</v>
      </c>
      <c r="AO838" s="56">
        <f t="shared" si="911"/>
        <v>0.53433993225854193</v>
      </c>
      <c r="AP838" s="56">
        <f t="shared" si="912"/>
        <v>0.28131269704786477</v>
      </c>
      <c r="AQ838" s="286">
        <f t="shared" si="913"/>
        <v>0.59466254055761347</v>
      </c>
    </row>
    <row r="839" spans="1:43">
      <c r="A839" s="10" t="s">
        <v>28</v>
      </c>
      <c r="J839" s="197">
        <f t="shared" si="914"/>
        <v>80.337574439999997</v>
      </c>
      <c r="K839" s="197">
        <f t="shared" si="914"/>
        <v>9181.3174559999989</v>
      </c>
      <c r="L839" s="197">
        <f t="shared" si="914"/>
        <v>0</v>
      </c>
      <c r="M839" s="197">
        <f t="shared" si="914"/>
        <v>4151.8418947199998</v>
      </c>
      <c r="N839" s="197">
        <f t="shared" si="914"/>
        <v>4244.7310768799998</v>
      </c>
      <c r="O839" s="197">
        <f t="shared" si="914"/>
        <v>88.132139999999993</v>
      </c>
      <c r="P839" s="212">
        <f t="shared" si="895"/>
        <v>17746.360142040001</v>
      </c>
      <c r="Q839" s="198"/>
      <c r="R839" s="208">
        <f t="shared" ref="R839:W839" si="918">J839*J844/1000000</f>
        <v>7.5309667073692101E-3</v>
      </c>
      <c r="S839" s="211">
        <f t="shared" si="918"/>
        <v>0.53202424128906678</v>
      </c>
      <c r="T839" s="211">
        <f t="shared" si="918"/>
        <v>0</v>
      </c>
      <c r="U839" s="211">
        <f t="shared" si="918"/>
        <v>0.3097362738350472</v>
      </c>
      <c r="V839" s="211">
        <f t="shared" si="918"/>
        <v>0.24134567009197738</v>
      </c>
      <c r="W839" s="211">
        <f t="shared" si="918"/>
        <v>2.6397520473758079E-4</v>
      </c>
      <c r="X839" s="220">
        <f t="shared" si="897"/>
        <v>1.0909011271281981</v>
      </c>
      <c r="Z839" s="199">
        <f t="shared" si="904"/>
        <v>0</v>
      </c>
      <c r="AA839">
        <v>475.2</v>
      </c>
      <c r="AB839" s="90">
        <v>0</v>
      </c>
      <c r="AC839" s="216" t="s">
        <v>225</v>
      </c>
      <c r="AJ839" s="10" t="s">
        <v>28</v>
      </c>
      <c r="AK839" s="56">
        <f t="shared" si="907"/>
        <v>0.83755741039783582</v>
      </c>
      <c r="AL839" s="56">
        <f t="shared" si="908"/>
        <v>0.73353425608931433</v>
      </c>
      <c r="AM839" s="56" t="str">
        <f t="shared" si="909"/>
        <v/>
      </c>
      <c r="AN839" s="56">
        <f t="shared" si="910"/>
        <v>0.77191145126171279</v>
      </c>
      <c r="AO839" s="56">
        <f t="shared" si="911"/>
        <v>0.73454671928205117</v>
      </c>
      <c r="AP839" s="56">
        <f t="shared" si="912"/>
        <v>0.70551256329416256</v>
      </c>
      <c r="AQ839" s="286">
        <f t="shared" si="913"/>
        <v>0.74724633618812053</v>
      </c>
    </row>
    <row r="840" spans="1:43">
      <c r="A840" s="10" t="s">
        <v>29</v>
      </c>
      <c r="J840" s="197">
        <f t="shared" si="914"/>
        <v>0</v>
      </c>
      <c r="K840" s="197">
        <f t="shared" si="914"/>
        <v>6425.5389004800008</v>
      </c>
      <c r="L840" s="197">
        <f t="shared" si="914"/>
        <v>1321.95990996</v>
      </c>
      <c r="M840" s="197">
        <f t="shared" si="914"/>
        <v>17745.566743439998</v>
      </c>
      <c r="N840" s="197">
        <f t="shared" si="914"/>
        <v>43893.561279599999</v>
      </c>
      <c r="O840" s="197">
        <f t="shared" si="914"/>
        <v>1027.2347294400001</v>
      </c>
      <c r="P840" s="212">
        <f t="shared" si="895"/>
        <v>70413.861562919992</v>
      </c>
      <c r="Q840" s="198"/>
      <c r="R840" s="211">
        <f t="shared" ref="R840:W840" si="919">J840*J844/1000000</f>
        <v>0</v>
      </c>
      <c r="S840" s="211">
        <f t="shared" si="919"/>
        <v>0.3723368105703867</v>
      </c>
      <c r="T840" s="211">
        <f t="shared" si="919"/>
        <v>0.24191742316880854</v>
      </c>
      <c r="U840" s="211">
        <f t="shared" si="919"/>
        <v>1.323857184252176</v>
      </c>
      <c r="V840" s="211">
        <f t="shared" si="919"/>
        <v>2.4956871867451444</v>
      </c>
      <c r="W840" s="211">
        <f t="shared" si="919"/>
        <v>3.0767946633030526E-3</v>
      </c>
      <c r="X840" s="220">
        <f t="shared" si="897"/>
        <v>4.4368753993998187</v>
      </c>
      <c r="Z840" s="199">
        <f t="shared" si="904"/>
        <v>0</v>
      </c>
      <c r="AA840">
        <v>2.9</v>
      </c>
      <c r="AB840" s="90">
        <v>0</v>
      </c>
      <c r="AC840" s="216" t="s">
        <v>148</v>
      </c>
      <c r="AJ840" s="10" t="s">
        <v>29</v>
      </c>
      <c r="AK840" s="56" t="str">
        <f t="shared" si="907"/>
        <v/>
      </c>
      <c r="AL840" s="56">
        <f t="shared" si="908"/>
        <v>0.62481776032210201</v>
      </c>
      <c r="AM840" s="56">
        <f t="shared" si="909"/>
        <v>0.25614789337919175</v>
      </c>
      <c r="AN840" s="56">
        <f t="shared" si="910"/>
        <v>0.69228065667276484</v>
      </c>
      <c r="AO840" s="56">
        <f t="shared" si="911"/>
        <v>0.3237267050460283</v>
      </c>
      <c r="AP840" s="56">
        <f t="shared" si="912"/>
        <v>0.4230576759848822</v>
      </c>
      <c r="AQ840" s="286">
        <f t="shared" si="913"/>
        <v>0.49552355560717898</v>
      </c>
    </row>
    <row r="841" spans="1:43">
      <c r="A841" s="11" t="s">
        <v>10</v>
      </c>
      <c r="J841" s="212">
        <f t="shared" ref="J841:P841" si="920">J829+J835</f>
        <v>377021.43878043996</v>
      </c>
      <c r="K841" s="212">
        <f t="shared" si="920"/>
        <v>1030691.79342676</v>
      </c>
      <c r="L841" s="212">
        <f t="shared" si="920"/>
        <v>42842.762194280003</v>
      </c>
      <c r="M841" s="212">
        <f t="shared" si="920"/>
        <v>90084.374472060008</v>
      </c>
      <c r="N841" s="212">
        <f t="shared" si="920"/>
        <v>211377.42140254003</v>
      </c>
      <c r="O841" s="212">
        <f t="shared" si="920"/>
        <v>20752.845269519999</v>
      </c>
      <c r="P841" s="212">
        <f t="shared" si="920"/>
        <v>1772770.6355456</v>
      </c>
      <c r="R841" s="229">
        <f t="shared" ref="R841:X841" si="921">R829+R835</f>
        <v>35.342564462666047</v>
      </c>
      <c r="S841" s="229">
        <f t="shared" si="921"/>
        <v>59.724873040131115</v>
      </c>
      <c r="T841" s="229">
        <f t="shared" si="921"/>
        <v>7.8401852835218531</v>
      </c>
      <c r="U841" s="229">
        <f t="shared" si="921"/>
        <v>6.7204867591950173</v>
      </c>
      <c r="V841" s="229">
        <f t="shared" si="921"/>
        <v>12.018435205136203</v>
      </c>
      <c r="W841" s="229">
        <f t="shared" si="921"/>
        <v>6.2159350481094375E-2</v>
      </c>
      <c r="X841" s="229">
        <f t="shared" si="921"/>
        <v>121.7087041011313</v>
      </c>
      <c r="Z841" s="199">
        <f t="shared" si="904"/>
        <v>0</v>
      </c>
      <c r="AA841">
        <v>0.3</v>
      </c>
      <c r="AB841" s="90">
        <v>0</v>
      </c>
      <c r="AC841" s="216" t="s">
        <v>142</v>
      </c>
      <c r="AJ841" s="308" t="s">
        <v>290</v>
      </c>
      <c r="AK841" s="307">
        <f t="shared" ref="AK841:AQ841" si="922">IFERROR(((J824/11.63)+J852)/(J858+J829/41.868),"")</f>
        <v>0.38132824857613862</v>
      </c>
      <c r="AL841" s="307">
        <f t="shared" si="922"/>
        <v>0.57770025284144522</v>
      </c>
      <c r="AM841" s="307">
        <f t="shared" si="922"/>
        <v>0.40991293866614142</v>
      </c>
      <c r="AN841" s="307">
        <f t="shared" si="922"/>
        <v>0.58448430873757695</v>
      </c>
      <c r="AO841" s="307">
        <f t="shared" si="922"/>
        <v>0.41578721973986843</v>
      </c>
      <c r="AP841" s="307">
        <f t="shared" si="922"/>
        <v>0.39637328443478526</v>
      </c>
      <c r="AQ841" s="307">
        <f t="shared" si="922"/>
        <v>0.51616429959007715</v>
      </c>
    </row>
    <row r="842" spans="1:43">
      <c r="E842" t="s">
        <v>200</v>
      </c>
      <c r="J842" s="198">
        <f t="shared" ref="J842:P842" si="923">J841/41.868</f>
        <v>9005.002359330274</v>
      </c>
      <c r="K842" s="198">
        <f t="shared" si="923"/>
        <v>24617.650554761633</v>
      </c>
      <c r="L842" s="198">
        <f t="shared" si="923"/>
        <v>1023.2817950291392</v>
      </c>
      <c r="M842" s="198">
        <f t="shared" si="923"/>
        <v>2151.6283192906276</v>
      </c>
      <c r="N842" s="198">
        <f t="shared" si="923"/>
        <v>5048.6629741697725</v>
      </c>
      <c r="O842" s="198">
        <f t="shared" si="923"/>
        <v>495.67319359701918</v>
      </c>
      <c r="P842" s="198">
        <f t="shared" si="923"/>
        <v>42341.899196178463</v>
      </c>
      <c r="R842" s="227">
        <v>35.34256446266604</v>
      </c>
      <c r="S842" s="227">
        <v>59.724873040131122</v>
      </c>
      <c r="T842" s="227">
        <v>7.8242134788818545</v>
      </c>
      <c r="U842" s="227">
        <v>6.7204867591950173</v>
      </c>
      <c r="V842" s="227">
        <v>12.018435205136207</v>
      </c>
      <c r="W842" s="227">
        <v>6.2159350481094368E-2</v>
      </c>
      <c r="X842" s="227">
        <v>121.70870410113133</v>
      </c>
      <c r="Z842" s="199">
        <f t="shared" si="904"/>
        <v>0</v>
      </c>
      <c r="AA842">
        <v>0</v>
      </c>
      <c r="AB842" s="90">
        <v>0</v>
      </c>
      <c r="AC842" s="216" t="s">
        <v>145</v>
      </c>
    </row>
    <row r="843" spans="1:43">
      <c r="J843" s="213" t="s">
        <v>217</v>
      </c>
      <c r="T843" s="228">
        <v>1.597180464E-2</v>
      </c>
      <c r="U843" s="228"/>
      <c r="Z843" s="199">
        <f t="shared" si="904"/>
        <v>0</v>
      </c>
      <c r="AA843">
        <v>3.2</v>
      </c>
      <c r="AB843" s="90">
        <v>0</v>
      </c>
      <c r="AC843" s="216" t="s">
        <v>143</v>
      </c>
    </row>
    <row r="844" spans="1:43">
      <c r="J844" s="198">
        <f>SUM(Z812:Z815)/SUM(AA812:AA815)+J845</f>
        <v>93.741524558893687</v>
      </c>
      <c r="K844" s="215">
        <f>AB817+K845</f>
        <v>57.9463942771512</v>
      </c>
      <c r="L844" s="177">
        <f>SUM(Z819:Z822)/SUM(AA819:AA822)+L845</f>
        <v>182.99906173109932</v>
      </c>
      <c r="M844" s="198">
        <f>SUM(Z824:Z832)/SUM(AA824:AA832)+M845</f>
        <v>74.602136037248073</v>
      </c>
      <c r="N844" s="198">
        <f>SUM(Z834:Z850)/SUM(AA834:AA850)+N845</f>
        <v>56.857705640417961</v>
      </c>
      <c r="O844" s="198">
        <f>SUM(Z852:Z862)/SUM(AA852:AA862)+O845</f>
        <v>2.995220639571226</v>
      </c>
      <c r="P844" s="363">
        <f>P835/41.868</f>
        <v>18577.766493060095</v>
      </c>
      <c r="R844" s="202"/>
      <c r="S844" s="202"/>
      <c r="T844" s="202"/>
      <c r="U844" s="202"/>
      <c r="V844" s="202"/>
      <c r="W844" s="202"/>
      <c r="X844" s="202"/>
      <c r="Z844" s="199">
        <f t="shared" si="904"/>
        <v>0</v>
      </c>
      <c r="AA844">
        <v>743.1</v>
      </c>
      <c r="AB844" s="90">
        <v>0</v>
      </c>
      <c r="AC844" s="216" t="s">
        <v>231</v>
      </c>
    </row>
    <row r="845" spans="1:43">
      <c r="A845" s="504" t="s">
        <v>415</v>
      </c>
      <c r="B845" s="503"/>
      <c r="C845" s="503"/>
      <c r="D845" s="503"/>
      <c r="E845" s="503"/>
      <c r="F845" s="503"/>
      <c r="G845" s="503"/>
      <c r="H845" s="503"/>
      <c r="I845" s="503"/>
      <c r="J845" s="503">
        <v>8.4833367796877113E-4</v>
      </c>
      <c r="K845" s="503">
        <v>0.45828890858184446</v>
      </c>
      <c r="L845" s="503">
        <v>3.2556362614508672E-3</v>
      </c>
      <c r="M845" s="503">
        <v>-2.7430704564033181E-3</v>
      </c>
      <c r="N845" s="503">
        <v>3.9284032529879434</v>
      </c>
      <c r="O845" s="503">
        <v>-6.3035303867300385E-3</v>
      </c>
      <c r="P845" s="364">
        <f>P829/41.868</f>
        <v>23764.132703118368</v>
      </c>
      <c r="R845" s="506">
        <f>R841-R842</f>
        <v>0</v>
      </c>
      <c r="S845" s="506">
        <f>S841-S842</f>
        <v>0</v>
      </c>
      <c r="T845" s="506">
        <f>T841-SUM(T842:T843)</f>
        <v>0</v>
      </c>
      <c r="U845" s="506">
        <f>U841-U842</f>
        <v>0</v>
      </c>
      <c r="V845" s="506">
        <f>V841-V842</f>
        <v>0</v>
      </c>
      <c r="W845" s="505">
        <f>W841-W842</f>
        <v>0</v>
      </c>
      <c r="X845" s="202">
        <f>X841-X842</f>
        <v>0</v>
      </c>
      <c r="Z845" s="199">
        <f t="shared" si="904"/>
        <v>3761.7990666666656</v>
      </c>
      <c r="AA845">
        <v>77</v>
      </c>
      <c r="AB845" s="90">
        <v>48.854533333333322</v>
      </c>
      <c r="AC845" s="219" t="s">
        <v>144</v>
      </c>
    </row>
    <row r="846" spans="1:43">
      <c r="O846" s="198"/>
      <c r="P846" s="365">
        <f>P858-P844</f>
        <v>5421.033506939908</v>
      </c>
      <c r="R846" s="202"/>
      <c r="S846" s="202"/>
      <c r="T846" s="202"/>
      <c r="U846" s="202"/>
      <c r="V846" s="202"/>
      <c r="W846" s="202"/>
      <c r="X846" s="202"/>
      <c r="Z846" s="199">
        <f t="shared" si="904"/>
        <v>0</v>
      </c>
      <c r="AA846">
        <v>1.4</v>
      </c>
      <c r="AB846" s="90">
        <v>0</v>
      </c>
      <c r="AC846" s="216" t="s">
        <v>146</v>
      </c>
      <c r="AJ846" s="68" t="s">
        <v>381</v>
      </c>
      <c r="AK846" s="210" t="s">
        <v>5</v>
      </c>
      <c r="AL846" s="210" t="s">
        <v>210</v>
      </c>
      <c r="AM846" s="210" t="s">
        <v>211</v>
      </c>
      <c r="AN846" s="210" t="s">
        <v>214</v>
      </c>
      <c r="AO846" s="210" t="s">
        <v>216</v>
      </c>
      <c r="AP846" s="210" t="s">
        <v>215</v>
      </c>
      <c r="AQ846" s="210" t="s">
        <v>213</v>
      </c>
    </row>
    <row r="847" spans="1:43">
      <c r="N847" s="252"/>
      <c r="O847" s="198"/>
      <c r="V847" s="90"/>
      <c r="Z847" s="199">
        <f t="shared" si="904"/>
        <v>5720</v>
      </c>
      <c r="AA847">
        <v>40</v>
      </c>
      <c r="AB847" s="90">
        <v>143</v>
      </c>
      <c r="AC847" s="216" t="s">
        <v>147</v>
      </c>
      <c r="AJ847" s="11" t="s">
        <v>24</v>
      </c>
      <c r="AK847" s="229">
        <f t="shared" ref="AK847:AK852" si="924">IFERROR(J852/(J858-J835/41.868),0)</f>
        <v>0.87714931610030611</v>
      </c>
      <c r="AL847" s="229">
        <f t="shared" ref="AL847:AL852" si="925">IFERROR(K852/(K858-K835/41.868),0)</f>
        <v>0.89398639365241295</v>
      </c>
      <c r="AM847" s="229">
        <f t="shared" ref="AM847:AM852" si="926">IFERROR(L852/(L858-L835/41.868),0)</f>
        <v>0.90001877625378024</v>
      </c>
      <c r="AN847" s="229">
        <f t="shared" ref="AN847:AN852" si="927">IFERROR(M852/(M858-M835/41.868),0)</f>
        <v>0.90141968678720619</v>
      </c>
      <c r="AO847" s="229">
        <f t="shared" ref="AO847:AO852" si="928">IFERROR(N852/(N858-N835/41.868),0)</f>
        <v>0.86309420565421124</v>
      </c>
      <c r="AP847" s="229">
        <f t="shared" ref="AP847:AP852" si="929">IFERROR(O852/(O858-O835/41.868),0)</f>
        <v>0.89870722439062067</v>
      </c>
      <c r="AQ847" s="229">
        <f t="shared" ref="AQ847:AQ852" si="930">IFERROR(P852/(P858-P835/41.868),0)</f>
        <v>0.89220256502901085</v>
      </c>
    </row>
    <row r="848" spans="1:43">
      <c r="J848" s="198"/>
      <c r="M848" s="252"/>
      <c r="N848" s="252"/>
      <c r="O848" s="198"/>
      <c r="P848" s="198"/>
      <c r="V848" s="90"/>
      <c r="Z848" s="199">
        <f t="shared" si="904"/>
        <v>0</v>
      </c>
      <c r="AB848" s="90">
        <v>45.85</v>
      </c>
      <c r="AC848" s="216" t="s">
        <v>232</v>
      </c>
      <c r="AJ848" s="10" t="s">
        <v>25</v>
      </c>
      <c r="AK848" s="428">
        <f t="shared" si="924"/>
        <v>0</v>
      </c>
      <c r="AL848" s="428">
        <f t="shared" si="925"/>
        <v>0.89773120783899385</v>
      </c>
      <c r="AM848" s="428">
        <f t="shared" si="926"/>
        <v>0.89605734767024592</v>
      </c>
      <c r="AN848" s="428">
        <f t="shared" si="927"/>
        <v>0.87370582324931112</v>
      </c>
      <c r="AO848" s="428">
        <f t="shared" si="928"/>
        <v>0.90143109363113061</v>
      </c>
      <c r="AP848" s="428">
        <f t="shared" si="929"/>
        <v>0.90478208239249158</v>
      </c>
      <c r="AQ848" s="428">
        <f t="shared" si="930"/>
        <v>0.8982241668968679</v>
      </c>
    </row>
    <row r="849" spans="1:43">
      <c r="A849" s="68" t="s">
        <v>413</v>
      </c>
      <c r="J849" s="314">
        <f>J852/(J858-J835/41.868)</f>
        <v>0.87714931610030611</v>
      </c>
      <c r="K849" s="314">
        <f t="shared" ref="K849:P849" si="931">K852/(K858-K835/41.868)</f>
        <v>0.89398639365241295</v>
      </c>
      <c r="L849" s="314">
        <f t="shared" si="931"/>
        <v>0.90001877625378024</v>
      </c>
      <c r="M849" s="314">
        <f t="shared" si="931"/>
        <v>0.90141968678720619</v>
      </c>
      <c r="N849" s="314">
        <f t="shared" si="931"/>
        <v>0.86309420565421124</v>
      </c>
      <c r="O849" s="314">
        <f t="shared" si="931"/>
        <v>0.89870722439062067</v>
      </c>
      <c r="P849" s="314">
        <f t="shared" si="931"/>
        <v>0.89220256502901085</v>
      </c>
      <c r="Z849" s="199">
        <f t="shared" si="904"/>
        <v>61306.034999999996</v>
      </c>
      <c r="AA849">
        <v>1337.1</v>
      </c>
      <c r="AB849" s="90">
        <v>45.85</v>
      </c>
      <c r="AC849" s="216" t="s">
        <v>233</v>
      </c>
      <c r="AJ849" s="10" t="s">
        <v>26</v>
      </c>
      <c r="AK849" s="428">
        <f t="shared" si="924"/>
        <v>0</v>
      </c>
      <c r="AL849" s="428">
        <f t="shared" si="925"/>
        <v>0.89719716487459411</v>
      </c>
      <c r="AM849" s="428">
        <f t="shared" si="926"/>
        <v>0</v>
      </c>
      <c r="AN849" s="428">
        <f t="shared" si="927"/>
        <v>0.90044313888918426</v>
      </c>
      <c r="AO849" s="428">
        <f t="shared" si="928"/>
        <v>0</v>
      </c>
      <c r="AP849" s="428">
        <f t="shared" si="929"/>
        <v>1.005580974407964</v>
      </c>
      <c r="AQ849" s="428">
        <f t="shared" si="930"/>
        <v>0.89762898301431382</v>
      </c>
    </row>
    <row r="850" spans="1:43">
      <c r="A850" s="68" t="s">
        <v>276</v>
      </c>
      <c r="P850" s="198"/>
      <c r="R850" s="221" t="s">
        <v>249</v>
      </c>
      <c r="S850" s="195"/>
      <c r="T850" s="195"/>
      <c r="U850" s="195"/>
      <c r="V850" s="195"/>
      <c r="W850" s="195"/>
      <c r="X850" s="195"/>
      <c r="Z850" s="199"/>
      <c r="AB850" s="90"/>
      <c r="AJ850" s="10" t="s">
        <v>27</v>
      </c>
      <c r="AK850" s="428">
        <f t="shared" si="924"/>
        <v>0.89674855314501944</v>
      </c>
      <c r="AL850" s="428">
        <f t="shared" si="925"/>
        <v>0.89090579842647488</v>
      </c>
      <c r="AM850" s="428">
        <f t="shared" si="926"/>
        <v>0.90218691022965047</v>
      </c>
      <c r="AN850" s="428">
        <f t="shared" si="927"/>
        <v>0.90643414163145475</v>
      </c>
      <c r="AO850" s="428">
        <f t="shared" si="928"/>
        <v>0.82529377921159397</v>
      </c>
      <c r="AP850" s="428">
        <f t="shared" si="929"/>
        <v>0.5077173030056864</v>
      </c>
      <c r="AQ850" s="428">
        <f t="shared" si="930"/>
        <v>0.88756481193603465</v>
      </c>
    </row>
    <row r="851" spans="1:43">
      <c r="A851" s="68" t="str">
        <f>$A$810</f>
        <v>Dati 2010 lorda</v>
      </c>
      <c r="J851" s="210" t="s">
        <v>5</v>
      </c>
      <c r="K851" s="210" t="s">
        <v>210</v>
      </c>
      <c r="L851" s="210" t="s">
        <v>211</v>
      </c>
      <c r="M851" s="210" t="s">
        <v>214</v>
      </c>
      <c r="N851" s="210" t="s">
        <v>216</v>
      </c>
      <c r="O851" s="210" t="s">
        <v>215</v>
      </c>
      <c r="P851" s="210" t="s">
        <v>213</v>
      </c>
      <c r="R851" s="221" t="s">
        <v>5</v>
      </c>
      <c r="S851" s="221" t="s">
        <v>210</v>
      </c>
      <c r="T851" s="221" t="s">
        <v>211</v>
      </c>
      <c r="U851" s="221" t="s">
        <v>214</v>
      </c>
      <c r="V851" s="221" t="s">
        <v>216</v>
      </c>
      <c r="W851" s="221" t="s">
        <v>215</v>
      </c>
      <c r="X851" s="221" t="s">
        <v>213</v>
      </c>
      <c r="AA851" s="209" t="s">
        <v>240</v>
      </c>
      <c r="AB851" s="90"/>
      <c r="AJ851" s="10" t="s">
        <v>28</v>
      </c>
      <c r="AK851" s="428">
        <f t="shared" si="924"/>
        <v>0.84937888305986342</v>
      </c>
      <c r="AL851" s="428">
        <f t="shared" si="925"/>
        <v>0.90286279310669548</v>
      </c>
      <c r="AM851" s="428">
        <f t="shared" si="926"/>
        <v>0</v>
      </c>
      <c r="AN851" s="428">
        <f t="shared" si="927"/>
        <v>0.89949443720951983</v>
      </c>
      <c r="AO851" s="428">
        <f t="shared" si="928"/>
        <v>0.90238617595217085</v>
      </c>
      <c r="AP851" s="428">
        <f t="shared" si="929"/>
        <v>0.87682672233820447</v>
      </c>
      <c r="AQ851" s="428">
        <f t="shared" si="930"/>
        <v>0.90039103238655793</v>
      </c>
    </row>
    <row r="852" spans="1:43">
      <c r="A852" s="223" t="s">
        <v>275</v>
      </c>
      <c r="J852" s="209">
        <f t="shared" ref="J852:O852" si="932">SUM(J853:J857)</f>
        <v>30.7</v>
      </c>
      <c r="K852" s="209">
        <f t="shared" si="932"/>
        <v>3077.1000000000004</v>
      </c>
      <c r="L852" s="209">
        <f t="shared" si="932"/>
        <v>23.2</v>
      </c>
      <c r="M852" s="209">
        <f t="shared" si="932"/>
        <v>1153.8</v>
      </c>
      <c r="N852" s="209">
        <f t="shared" si="932"/>
        <v>527.46</v>
      </c>
      <c r="O852" s="209">
        <f t="shared" si="932"/>
        <v>24.400000000000006</v>
      </c>
      <c r="P852" s="298">
        <f t="shared" ref="P852:P863" si="933">SUM(J852:O852)</f>
        <v>4836.66</v>
      </c>
      <c r="Q852" s="223" t="s">
        <v>17</v>
      </c>
      <c r="R852" s="222">
        <f t="shared" ref="R852:R863" si="934">IFERROR(R829/J812*1000000,0)</f>
        <v>890.48823839475472</v>
      </c>
      <c r="S852" s="222">
        <f t="shared" ref="S852:S863" si="935">IFERROR(S829/K812*1000000,0)</f>
        <v>409.00519293006289</v>
      </c>
      <c r="T852" s="222">
        <f t="shared" ref="T852:T863" si="936">IFERROR(T829/L812*1000000,0)</f>
        <v>1795.0367668642903</v>
      </c>
      <c r="U852" s="222">
        <f t="shared" ref="U852:U863" si="937">IFERROR(U829/M812*1000000,0)</f>
        <v>784.4874592005599</v>
      </c>
      <c r="V852" s="222">
        <f t="shared" ref="V852:V863" si="938">IFERROR(V829/N812*1000000,0)</f>
        <v>723.76887771216582</v>
      </c>
      <c r="W852" s="222">
        <f t="shared" ref="W852:W863" si="939">IFERROR(W829/O812*1000000,0)</f>
        <v>30.855943965622988</v>
      </c>
      <c r="X852" s="222">
        <f>IFERROR(X829/P812*1000000,0)</f>
        <v>606.86237695759462</v>
      </c>
      <c r="Z852" s="199">
        <f>AA852*AB852</f>
        <v>1487.2552262141671</v>
      </c>
      <c r="AA852">
        <v>16</v>
      </c>
      <c r="AB852" s="90">
        <v>92.953451638385445</v>
      </c>
      <c r="AC852" s="217" t="s">
        <v>221</v>
      </c>
      <c r="AJ852" s="10" t="s">
        <v>29</v>
      </c>
      <c r="AK852" s="428">
        <f t="shared" si="924"/>
        <v>0</v>
      </c>
      <c r="AL852" s="428">
        <f t="shared" si="925"/>
        <v>0.89930505594163579</v>
      </c>
      <c r="AM852" s="428">
        <f t="shared" si="926"/>
        <v>0.90701825992669582</v>
      </c>
      <c r="AN852" s="428">
        <f t="shared" si="927"/>
        <v>0.8993679457587459</v>
      </c>
      <c r="AO852" s="428">
        <f t="shared" si="928"/>
        <v>0.87672983170950003</v>
      </c>
      <c r="AP852" s="428">
        <f t="shared" si="929"/>
        <v>0.8987162067473784</v>
      </c>
      <c r="AQ852" s="428">
        <f t="shared" si="930"/>
        <v>0.8936797733252797</v>
      </c>
    </row>
    <row r="853" spans="1:43">
      <c r="A853" s="216" t="s">
        <v>25</v>
      </c>
      <c r="K853">
        <v>348.5</v>
      </c>
      <c r="L853">
        <v>1.3</v>
      </c>
      <c r="M853">
        <v>2.8</v>
      </c>
      <c r="N853">
        <v>43.96</v>
      </c>
      <c r="O853">
        <v>16.100000000000001</v>
      </c>
      <c r="P853" s="298">
        <f t="shared" si="933"/>
        <v>412.66</v>
      </c>
      <c r="Q853" s="216" t="s">
        <v>18</v>
      </c>
      <c r="R853" s="230">
        <f t="shared" si="934"/>
        <v>0</v>
      </c>
      <c r="S853" s="230">
        <f t="shared" si="935"/>
        <v>595.34125480345142</v>
      </c>
      <c r="T853" s="230">
        <f t="shared" si="936"/>
        <v>1653.4174578331445</v>
      </c>
      <c r="U853" s="230">
        <f t="shared" si="937"/>
        <v>714.01889414547486</v>
      </c>
      <c r="V853" s="230">
        <f t="shared" si="938"/>
        <v>501.08695980900353</v>
      </c>
      <c r="W853" s="230">
        <f t="shared" si="939"/>
        <v>30.834298874065983</v>
      </c>
      <c r="X853" s="222">
        <f>IFERROR(X830/P813*1000000,0)</f>
        <v>303.62182136542901</v>
      </c>
      <c r="Z853" s="199">
        <f>AA853*AB853</f>
        <v>0</v>
      </c>
      <c r="AA853">
        <v>86.4</v>
      </c>
      <c r="AB853" s="90">
        <v>0</v>
      </c>
      <c r="AC853" s="216" t="s">
        <v>226</v>
      </c>
      <c r="AJ853" s="216"/>
    </row>
    <row r="854" spans="1:43">
      <c r="A854" s="216" t="s">
        <v>26</v>
      </c>
      <c r="K854">
        <v>407</v>
      </c>
      <c r="M854">
        <v>74.5</v>
      </c>
      <c r="O854">
        <v>0.2</v>
      </c>
      <c r="P854" s="298">
        <f t="shared" si="933"/>
        <v>481.7</v>
      </c>
      <c r="Q854" s="216" t="s">
        <v>19</v>
      </c>
      <c r="R854" s="230">
        <f t="shared" si="934"/>
        <v>0</v>
      </c>
      <c r="S854" s="230">
        <f t="shared" si="935"/>
        <v>739.91750852494374</v>
      </c>
      <c r="T854" s="230">
        <f t="shared" si="936"/>
        <v>0</v>
      </c>
      <c r="U854" s="230">
        <f t="shared" si="937"/>
        <v>1283.4224129675226</v>
      </c>
      <c r="V854" s="230">
        <f t="shared" si="938"/>
        <v>744.86380416523912</v>
      </c>
      <c r="W854" s="230">
        <f t="shared" si="939"/>
        <v>33.58241381087258</v>
      </c>
      <c r="X854" s="222">
        <f t="shared" ref="X854:X863" si="940">IFERROR(X831/P814*1000000,0)</f>
        <v>767.57338991959148</v>
      </c>
      <c r="Z854" s="199">
        <f t="shared" ref="Z854:Z859" si="941">AA854*AB854</f>
        <v>0</v>
      </c>
      <c r="AA854">
        <v>0</v>
      </c>
      <c r="AB854" s="90">
        <v>0</v>
      </c>
      <c r="AC854" s="216" t="s">
        <v>227</v>
      </c>
      <c r="AJ854" s="216"/>
    </row>
    <row r="855" spans="1:43">
      <c r="A855" s="216" t="s">
        <v>27</v>
      </c>
      <c r="J855">
        <v>18.399999999999999</v>
      </c>
      <c r="K855">
        <v>1903.8</v>
      </c>
      <c r="L855">
        <v>19.7</v>
      </c>
      <c r="M855">
        <v>331.8</v>
      </c>
      <c r="N855">
        <v>191.9</v>
      </c>
      <c r="O855">
        <v>0.1</v>
      </c>
      <c r="P855" s="298">
        <f t="shared" si="933"/>
        <v>2465.7000000000003</v>
      </c>
      <c r="Q855" s="216" t="s">
        <v>20</v>
      </c>
      <c r="R855" s="230">
        <f t="shared" si="934"/>
        <v>890.48823839475472</v>
      </c>
      <c r="S855" s="230">
        <f t="shared" si="935"/>
        <v>571.55425995268081</v>
      </c>
      <c r="T855" s="230">
        <f t="shared" si="936"/>
        <v>1800.4362688414203</v>
      </c>
      <c r="U855" s="230">
        <f t="shared" si="937"/>
        <v>784.88907324788704</v>
      </c>
      <c r="V855" s="230">
        <f t="shared" si="938"/>
        <v>891.24453591355166</v>
      </c>
      <c r="W855" s="230">
        <f t="shared" si="939"/>
        <v>0</v>
      </c>
      <c r="X855" s="222">
        <f>IFERROR(X832/P815*1000000,0)</f>
        <v>874.24439300276265</v>
      </c>
      <c r="Z855" s="199">
        <f t="shared" si="941"/>
        <v>0</v>
      </c>
      <c r="AA855">
        <v>44.4</v>
      </c>
      <c r="AB855" s="90">
        <v>0</v>
      </c>
      <c r="AC855" s="216" t="s">
        <v>150</v>
      </c>
      <c r="AJ855" s="223"/>
    </row>
    <row r="856" spans="1:43">
      <c r="A856" s="216" t="s">
        <v>28</v>
      </c>
      <c r="J856">
        <v>12.3</v>
      </c>
      <c r="K856">
        <v>306.8</v>
      </c>
      <c r="M856">
        <v>233.9</v>
      </c>
      <c r="N856">
        <v>85.2</v>
      </c>
      <c r="O856">
        <v>2.1</v>
      </c>
      <c r="P856" s="298">
        <f t="shared" si="933"/>
        <v>640.30000000000007</v>
      </c>
      <c r="Q856" s="216" t="s">
        <v>21</v>
      </c>
      <c r="R856" s="230">
        <f t="shared" si="934"/>
        <v>0</v>
      </c>
      <c r="S856" s="230">
        <f t="shared" si="935"/>
        <v>395.39722135014119</v>
      </c>
      <c r="T856" s="230">
        <f t="shared" si="936"/>
        <v>1794.3058002734285</v>
      </c>
      <c r="U856" s="230">
        <f t="shared" si="937"/>
        <v>2120.5049310383329</v>
      </c>
      <c r="V856" s="230">
        <f t="shared" si="938"/>
        <v>420.63760477035839</v>
      </c>
      <c r="W856" s="230">
        <f t="shared" si="939"/>
        <v>0</v>
      </c>
      <c r="X856" s="222">
        <f>IFERROR(X833/P816*1000000,0)</f>
        <v>397.85284133176287</v>
      </c>
      <c r="Z856" s="199">
        <f t="shared" si="941"/>
        <v>0</v>
      </c>
      <c r="AA856">
        <v>5.8</v>
      </c>
      <c r="AB856" s="90">
        <v>0</v>
      </c>
      <c r="AC856" s="216" t="s">
        <v>151</v>
      </c>
      <c r="AJ856" s="239"/>
    </row>
    <row r="857" spans="1:43">
      <c r="A857" s="216" t="s">
        <v>29</v>
      </c>
      <c r="K857">
        <v>111</v>
      </c>
      <c r="L857">
        <v>2.2000000000000002</v>
      </c>
      <c r="M857">
        <v>510.8</v>
      </c>
      <c r="N857">
        <v>206.4</v>
      </c>
      <c r="O857">
        <v>5.9</v>
      </c>
      <c r="P857" s="298">
        <f t="shared" si="933"/>
        <v>836.3</v>
      </c>
      <c r="Q857" s="216" t="s">
        <v>23</v>
      </c>
      <c r="R857" s="230">
        <f t="shared" si="934"/>
        <v>0</v>
      </c>
      <c r="S857" s="230">
        <f t="shared" si="935"/>
        <v>584.67911825645569</v>
      </c>
      <c r="T857" s="230">
        <f t="shared" si="936"/>
        <v>0</v>
      </c>
      <c r="U857" s="230">
        <f t="shared" si="937"/>
        <v>771.17788698389222</v>
      </c>
      <c r="V857" s="230">
        <f t="shared" si="938"/>
        <v>0</v>
      </c>
      <c r="W857" s="230">
        <f t="shared" si="939"/>
        <v>0</v>
      </c>
      <c r="X857" s="222">
        <f>IFERROR(X834/P817*1000000,0)</f>
        <v>615.90543946545336</v>
      </c>
      <c r="Z857" s="199">
        <f t="shared" si="941"/>
        <v>0</v>
      </c>
      <c r="AB857" s="90">
        <v>0</v>
      </c>
      <c r="AC857" s="218" t="s">
        <v>153</v>
      </c>
      <c r="AJ857" s="239"/>
    </row>
    <row r="858" spans="1:43">
      <c r="A858" s="223" t="s">
        <v>277</v>
      </c>
      <c r="J858" s="209">
        <f t="shared" ref="J858:O858" si="942">SUM(J859:J863)</f>
        <v>54.199999999999996</v>
      </c>
      <c r="K858" s="209">
        <f t="shared" si="942"/>
        <v>16928</v>
      </c>
      <c r="L858" s="209">
        <f t="shared" si="942"/>
        <v>825.4</v>
      </c>
      <c r="M858" s="209">
        <f t="shared" si="942"/>
        <v>2183.1999999999998</v>
      </c>
      <c r="N858" s="209">
        <f t="shared" si="942"/>
        <v>3860.05</v>
      </c>
      <c r="O858" s="209">
        <f t="shared" si="942"/>
        <v>147.94999999999999</v>
      </c>
      <c r="P858" s="298">
        <f t="shared" si="933"/>
        <v>23998.800000000003</v>
      </c>
      <c r="Q858" s="223" t="s">
        <v>24</v>
      </c>
      <c r="R858" s="222">
        <f t="shared" si="934"/>
        <v>581.27582842291031</v>
      </c>
      <c r="S858" s="222">
        <f t="shared" si="935"/>
        <v>377.34549755113426</v>
      </c>
      <c r="T858" s="222">
        <f t="shared" si="936"/>
        <v>1622.197535953308</v>
      </c>
      <c r="U858" s="222">
        <f t="shared" si="937"/>
        <v>571.39582744934978</v>
      </c>
      <c r="V858" s="222">
        <f t="shared" si="938"/>
        <v>505.01293018883308</v>
      </c>
      <c r="W858" s="222">
        <f t="shared" si="939"/>
        <v>25.130685222742986</v>
      </c>
      <c r="X858" s="222">
        <f t="shared" si="940"/>
        <v>443.99098253657206</v>
      </c>
      <c r="Z858" s="199">
        <f t="shared" si="941"/>
        <v>0</v>
      </c>
      <c r="AA858">
        <v>21.5</v>
      </c>
      <c r="AB858" s="90">
        <v>0</v>
      </c>
      <c r="AC858" s="216" t="s">
        <v>228</v>
      </c>
      <c r="AJ858" s="239"/>
    </row>
    <row r="859" spans="1:43">
      <c r="A859" s="216" t="s">
        <v>25</v>
      </c>
      <c r="K859">
        <v>993.7</v>
      </c>
      <c r="L859">
        <v>33.700000000000003</v>
      </c>
      <c r="M859">
        <v>13.6</v>
      </c>
      <c r="N859">
        <v>215.55</v>
      </c>
      <c r="O859">
        <v>111.35</v>
      </c>
      <c r="P859" s="298">
        <f t="shared" si="933"/>
        <v>1367.8999999999999</v>
      </c>
      <c r="Q859" s="216" t="s">
        <v>25</v>
      </c>
      <c r="R859" s="230">
        <f t="shared" si="934"/>
        <v>0</v>
      </c>
      <c r="S859" s="230">
        <f t="shared" si="935"/>
        <v>376.77327340802253</v>
      </c>
      <c r="T859" s="230">
        <f t="shared" si="936"/>
        <v>1669.5072477379151</v>
      </c>
      <c r="U859" s="230">
        <f t="shared" si="937"/>
        <v>475.38790765066182</v>
      </c>
      <c r="V859" s="230">
        <f t="shared" si="938"/>
        <v>405.87839056788982</v>
      </c>
      <c r="W859" s="230">
        <f t="shared" si="939"/>
        <v>23.287503809866394</v>
      </c>
      <c r="X859" s="222">
        <f t="shared" si="940"/>
        <v>385.42840500986409</v>
      </c>
      <c r="Z859" s="199">
        <f t="shared" si="941"/>
        <v>0</v>
      </c>
      <c r="AA859">
        <v>1.7</v>
      </c>
      <c r="AB859" s="90">
        <v>0</v>
      </c>
      <c r="AC859" s="216" t="s">
        <v>152</v>
      </c>
      <c r="AJ859" s="216"/>
    </row>
    <row r="860" spans="1:43">
      <c r="A860" s="216" t="s">
        <v>26</v>
      </c>
      <c r="K860">
        <v>936.7</v>
      </c>
      <c r="L860">
        <v>0.1</v>
      </c>
      <c r="M860">
        <v>165.6</v>
      </c>
      <c r="O860">
        <v>0.4</v>
      </c>
      <c r="P860" s="298">
        <f t="shared" si="933"/>
        <v>1102.8000000000002</v>
      </c>
      <c r="Q860" s="216" t="s">
        <v>26</v>
      </c>
      <c r="R860" s="230">
        <f t="shared" si="934"/>
        <v>0</v>
      </c>
      <c r="S860" s="230">
        <f t="shared" si="935"/>
        <v>354.45315676054145</v>
      </c>
      <c r="T860" s="230">
        <f t="shared" si="936"/>
        <v>891.83406900731211</v>
      </c>
      <c r="U860" s="230">
        <f t="shared" si="937"/>
        <v>489.44339769289564</v>
      </c>
      <c r="V860" s="230">
        <f t="shared" si="938"/>
        <v>0</v>
      </c>
      <c r="W860" s="230">
        <f t="shared" si="939"/>
        <v>19.399982980001781</v>
      </c>
      <c r="X860" s="222">
        <f t="shared" si="940"/>
        <v>372.98643567859511</v>
      </c>
      <c r="Z860" s="199">
        <f>AA860*AB860</f>
        <v>0</v>
      </c>
      <c r="AA860">
        <v>0.5</v>
      </c>
      <c r="AB860" s="90">
        <v>0</v>
      </c>
      <c r="AC860" s="216" t="s">
        <v>229</v>
      </c>
      <c r="AJ860" s="216"/>
    </row>
    <row r="861" spans="1:43">
      <c r="A861" s="216" t="s">
        <v>27</v>
      </c>
      <c r="J861">
        <v>37.799999999999997</v>
      </c>
      <c r="K861">
        <v>14161.6</v>
      </c>
      <c r="L861">
        <v>757.6</v>
      </c>
      <c r="M861">
        <v>653</v>
      </c>
      <c r="N861">
        <v>2164.9</v>
      </c>
      <c r="O861">
        <v>0.6</v>
      </c>
      <c r="P861" s="298">
        <f t="shared" si="933"/>
        <v>17775.5</v>
      </c>
      <c r="Q861" s="216" t="s">
        <v>27</v>
      </c>
      <c r="R861" s="230">
        <f t="shared" si="934"/>
        <v>600.54570293409665</v>
      </c>
      <c r="S861" s="230">
        <f t="shared" si="935"/>
        <v>376.04515378537241</v>
      </c>
      <c r="T861" s="230">
        <f t="shared" si="936"/>
        <v>1586.7597567990924</v>
      </c>
      <c r="U861" s="230">
        <f t="shared" si="937"/>
        <v>500.37544550352192</v>
      </c>
      <c r="V861" s="230">
        <f t="shared" si="938"/>
        <v>409.92527188147</v>
      </c>
      <c r="W861" s="230">
        <f t="shared" si="939"/>
        <v>63.178483680186801</v>
      </c>
      <c r="X861" s="222">
        <f t="shared" si="940"/>
        <v>428.34105064643416</v>
      </c>
      <c r="Z861" s="199">
        <f>AA861*AB861</f>
        <v>0</v>
      </c>
      <c r="AA861">
        <v>318.39999999999998</v>
      </c>
      <c r="AB861" s="90">
        <v>0</v>
      </c>
      <c r="AC861" s="216" t="s">
        <v>230</v>
      </c>
      <c r="AJ861" s="223"/>
    </row>
    <row r="862" spans="1:43">
      <c r="A862" s="216" t="s">
        <v>28</v>
      </c>
      <c r="J862">
        <v>16.399999999999999</v>
      </c>
      <c r="K862">
        <v>559.1</v>
      </c>
      <c r="M862">
        <v>359.2</v>
      </c>
      <c r="N862">
        <v>195.8</v>
      </c>
      <c r="O862">
        <v>4.5</v>
      </c>
      <c r="P862" s="298">
        <f t="shared" si="933"/>
        <v>1135</v>
      </c>
      <c r="Q862" s="216" t="s">
        <v>28</v>
      </c>
      <c r="R862" s="230">
        <f t="shared" si="934"/>
        <v>450.95609026162936</v>
      </c>
      <c r="S862" s="230">
        <f t="shared" si="935"/>
        <v>442.76318349622738</v>
      </c>
      <c r="T862" s="230">
        <f t="shared" si="936"/>
        <v>0</v>
      </c>
      <c r="U862" s="230">
        <f t="shared" si="937"/>
        <v>614.06874273403491</v>
      </c>
      <c r="V862" s="230">
        <f t="shared" si="938"/>
        <v>353.98308901727398</v>
      </c>
      <c r="W862" s="230">
        <f t="shared" si="939"/>
        <v>21.118016379006466</v>
      </c>
      <c r="X862" s="222">
        <f t="shared" si="940"/>
        <v>451.34510845188174</v>
      </c>
      <c r="Z862" s="199">
        <f>AA862*AB862</f>
        <v>0</v>
      </c>
      <c r="AA862">
        <v>0.8</v>
      </c>
      <c r="AB862" s="90">
        <v>0</v>
      </c>
      <c r="AC862" s="216" t="s">
        <v>243</v>
      </c>
      <c r="AJ862" s="216"/>
    </row>
    <row r="863" spans="1:43">
      <c r="A863" s="216" t="s">
        <v>29</v>
      </c>
      <c r="K863">
        <v>276.89999999999998</v>
      </c>
      <c r="L863">
        <v>34</v>
      </c>
      <c r="M863">
        <v>991.8</v>
      </c>
      <c r="N863">
        <v>1283.8</v>
      </c>
      <c r="O863">
        <v>31.1</v>
      </c>
      <c r="P863" s="298">
        <f t="shared" si="933"/>
        <v>2617.6</v>
      </c>
      <c r="Q863" s="216" t="s">
        <v>29</v>
      </c>
      <c r="R863" s="230">
        <f t="shared" si="934"/>
        <v>0</v>
      </c>
      <c r="S863" s="230">
        <f t="shared" si="935"/>
        <v>516.27400245477907</v>
      </c>
      <c r="T863" s="230">
        <f t="shared" si="936"/>
        <v>3195.738747276203</v>
      </c>
      <c r="U863" s="230">
        <f t="shared" si="937"/>
        <v>647.48957461223517</v>
      </c>
      <c r="V863" s="230">
        <f t="shared" si="938"/>
        <v>1025.765387071576</v>
      </c>
      <c r="W863" s="230">
        <f t="shared" si="939"/>
        <v>36.454913072311044</v>
      </c>
      <c r="X863" s="222">
        <f t="shared" si="940"/>
        <v>827.9451752038326</v>
      </c>
      <c r="AJ863" s="216"/>
    </row>
    <row r="864" spans="1:43">
      <c r="Q864" s="223" t="s">
        <v>10</v>
      </c>
      <c r="R864" s="225">
        <f t="shared" ref="R864:X864" si="943">R841/J824*1000000</f>
        <v>889.47937175868947</v>
      </c>
      <c r="S864" s="225">
        <f t="shared" si="943"/>
        <v>391.03234749628189</v>
      </c>
      <c r="T864" s="316">
        <f t="shared" si="943"/>
        <v>1657.0715088762943</v>
      </c>
      <c r="U864" s="224">
        <f t="shared" si="943"/>
        <v>678.29920307584575</v>
      </c>
      <c r="V864" s="224">
        <f t="shared" si="943"/>
        <v>565.99558753876204</v>
      </c>
      <c r="W864" s="224">
        <f t="shared" si="943"/>
        <v>29.232887568412714</v>
      </c>
      <c r="X864" s="225">
        <f t="shared" si="943"/>
        <v>528.08893380104689</v>
      </c>
      <c r="AJ864" s="216"/>
    </row>
    <row r="865" spans="1:36">
      <c r="J865" s="90">
        <f t="shared" ref="J865:O870" si="944">IFERROR((J818/11.63+J852)/J858,"")</f>
        <v>0.77208548955652923</v>
      </c>
      <c r="K865" s="90">
        <f t="shared" si="944"/>
        <v>0.62219601972117611</v>
      </c>
      <c r="L865" s="90">
        <f t="shared" si="944"/>
        <v>0.42153834165919912</v>
      </c>
      <c r="M865" s="90">
        <f t="shared" si="944"/>
        <v>0.72294401994815727</v>
      </c>
      <c r="N865" s="90">
        <f t="shared" si="944"/>
        <v>0.47778841494519503</v>
      </c>
      <c r="O865" s="90">
        <f t="shared" si="944"/>
        <v>0.51525157374342456</v>
      </c>
      <c r="P865" s="234">
        <f>P858-('5-x'!$P$82+'5-x'!$P$84)</f>
        <v>0</v>
      </c>
      <c r="R865" s="234">
        <f>'12'!V6</f>
        <v>889.47914790018706</v>
      </c>
      <c r="S865" s="234">
        <f>'12'!V7</f>
        <v>391.03106741154971</v>
      </c>
      <c r="T865" s="234"/>
      <c r="U865" s="234"/>
      <c r="V865" s="234"/>
      <c r="W865" s="234"/>
      <c r="X865" s="225">
        <f>'12'!V11</f>
        <v>526.31268911471773</v>
      </c>
      <c r="AJ865" s="216"/>
    </row>
    <row r="866" spans="1:36">
      <c r="J866" s="90" t="str">
        <f t="shared" si="944"/>
        <v/>
      </c>
      <c r="K866" s="90">
        <f t="shared" si="944"/>
        <v>0.68807995963564428</v>
      </c>
      <c r="L866" s="90">
        <f t="shared" si="944"/>
        <v>0.41619315644845645</v>
      </c>
      <c r="M866" s="90">
        <f t="shared" si="944"/>
        <v>0.63770168428506402</v>
      </c>
      <c r="N866" s="90">
        <f t="shared" si="944"/>
        <v>0.59415476775303155</v>
      </c>
      <c r="O866" s="90">
        <f t="shared" si="944"/>
        <v>0.53362373219160919</v>
      </c>
      <c r="P866" s="302">
        <f>(P835/41.868)-'5-x'!$P$82</f>
        <v>-3.1397399070556276E-3</v>
      </c>
      <c r="R866" s="252">
        <f>R864-R865</f>
        <v>2.2385850240880245E-4</v>
      </c>
      <c r="S866" s="252">
        <f>S864-S865</f>
        <v>1.2800847321727815E-3</v>
      </c>
      <c r="T866" s="252"/>
      <c r="U866" s="252"/>
      <c r="V866" s="252"/>
      <c r="W866" s="252"/>
      <c r="X866" s="252">
        <f>X864-X865</f>
        <v>1.7762446863291643</v>
      </c>
      <c r="AJ866" s="216"/>
    </row>
    <row r="867" spans="1:36">
      <c r="J867" s="90" t="str">
        <f t="shared" si="944"/>
        <v/>
      </c>
      <c r="K867" s="90">
        <f t="shared" si="944"/>
        <v>0.73801561453965503</v>
      </c>
      <c r="L867" s="90">
        <f t="shared" si="944"/>
        <v>0.25795356835769556</v>
      </c>
      <c r="M867" s="90">
        <f t="shared" si="944"/>
        <v>0.72444816213274843</v>
      </c>
      <c r="N867" s="90" t="str">
        <f t="shared" si="944"/>
        <v/>
      </c>
      <c r="O867" s="90">
        <f t="shared" si="944"/>
        <v>0.77944969905417016</v>
      </c>
      <c r="P867" s="302">
        <f>(P829/41.868)-'5-x'!$P$83</f>
        <v>2.8848783731518779E-3</v>
      </c>
      <c r="AJ867" s="216"/>
    </row>
    <row r="868" spans="1:36">
      <c r="J868" s="90">
        <f t="shared" si="944"/>
        <v>0.74367968263067141</v>
      </c>
      <c r="K868" s="90">
        <f t="shared" si="944"/>
        <v>0.6054654064087468</v>
      </c>
      <c r="L868" s="90">
        <f t="shared" si="944"/>
        <v>0.42922018756792724</v>
      </c>
      <c r="M868" s="90">
        <f t="shared" si="944"/>
        <v>0.74397469711194708</v>
      </c>
      <c r="N868" s="90">
        <f t="shared" si="944"/>
        <v>0.53433993225854193</v>
      </c>
      <c r="O868" s="90">
        <f t="shared" si="944"/>
        <v>0.28131269704786477</v>
      </c>
      <c r="AJ868" s="216"/>
    </row>
    <row r="869" spans="1:36">
      <c r="J869" s="90">
        <f t="shared" si="944"/>
        <v>0.83755741039783582</v>
      </c>
      <c r="K869" s="90">
        <f t="shared" si="944"/>
        <v>0.73353425608931433</v>
      </c>
      <c r="L869" s="90" t="str">
        <f t="shared" si="944"/>
        <v/>
      </c>
      <c r="M869" s="90">
        <f t="shared" si="944"/>
        <v>0.77191145126171279</v>
      </c>
      <c r="N869" s="90">
        <f t="shared" si="944"/>
        <v>0.73454671928205117</v>
      </c>
      <c r="O869" s="90">
        <f t="shared" si="944"/>
        <v>0.70551256329416256</v>
      </c>
      <c r="AJ869" s="216"/>
    </row>
    <row r="870" spans="1:36">
      <c r="J870" s="90" t="str">
        <f t="shared" si="944"/>
        <v/>
      </c>
      <c r="K870" s="90">
        <f t="shared" si="944"/>
        <v>0.62481776032210201</v>
      </c>
      <c r="L870" s="90">
        <f t="shared" si="944"/>
        <v>0.25614789337919175</v>
      </c>
      <c r="M870" s="90">
        <f t="shared" si="944"/>
        <v>0.69228065667276484</v>
      </c>
      <c r="N870" s="90">
        <f t="shared" si="944"/>
        <v>0.3237267050460283</v>
      </c>
      <c r="O870" s="90">
        <f t="shared" si="944"/>
        <v>0.4230576759848822</v>
      </c>
      <c r="AJ870" s="216"/>
    </row>
    <row r="871" spans="1:36">
      <c r="A871" s="68" t="str">
        <f>$A$810</f>
        <v>Dati 2010 lorda</v>
      </c>
      <c r="J871" s="90"/>
      <c r="K871" s="90"/>
      <c r="L871" s="90"/>
      <c r="M871" s="90"/>
      <c r="N871" s="90"/>
      <c r="O871" s="90"/>
      <c r="AJ871" s="216"/>
    </row>
    <row r="872" spans="1:36">
      <c r="A872" s="68" t="s">
        <v>281</v>
      </c>
      <c r="B872" s="68"/>
      <c r="C872" s="68"/>
      <c r="D872" s="68"/>
      <c r="E872" s="68"/>
      <c r="F872" s="68"/>
      <c r="G872" s="68"/>
      <c r="H872" s="68"/>
      <c r="I872" s="68"/>
      <c r="J872" s="479">
        <v>0.13690999236926871</v>
      </c>
      <c r="K872" s="479">
        <v>8.3468434076785414</v>
      </c>
      <c r="L872" s="479">
        <v>0.16884324058662892</v>
      </c>
      <c r="M872" s="658">
        <v>3.8784817191730143</v>
      </c>
      <c r="N872" s="657">
        <v>1.4763555534524291</v>
      </c>
      <c r="O872" s="657">
        <v>0</v>
      </c>
      <c r="P872" s="323">
        <f>SUM(J872:O872)</f>
        <v>14.007433913259881</v>
      </c>
      <c r="AJ872" s="216"/>
    </row>
    <row r="873" spans="1:36">
      <c r="A873" t="s">
        <v>284</v>
      </c>
      <c r="J873" s="211">
        <f t="shared" ref="J873:P873" si="945">J872/(J852*11.63)*1000000</f>
        <v>383.45734066751078</v>
      </c>
      <c r="K873" s="211">
        <f t="shared" si="945"/>
        <v>233.23887659740089</v>
      </c>
      <c r="L873" s="211">
        <f t="shared" si="945"/>
        <v>625.7717873907734</v>
      </c>
      <c r="M873" s="211">
        <f t="shared" si="945"/>
        <v>289.03570788431529</v>
      </c>
      <c r="N873" s="211">
        <f t="shared" si="945"/>
        <v>240.66986638971335</v>
      </c>
      <c r="O873" s="211">
        <f t="shared" si="945"/>
        <v>0</v>
      </c>
      <c r="P873" s="211">
        <f t="shared" si="945"/>
        <v>249.01947221567406</v>
      </c>
      <c r="AJ873" s="216"/>
    </row>
    <row r="874" spans="1:36">
      <c r="AJ874" s="216"/>
    </row>
    <row r="875" spans="1:36">
      <c r="A875" s="68" t="s">
        <v>283</v>
      </c>
      <c r="B875" s="68"/>
      <c r="C875" s="68"/>
      <c r="D875" s="68"/>
      <c r="E875" s="68"/>
      <c r="F875" s="68"/>
      <c r="G875" s="68"/>
      <c r="H875" s="68"/>
      <c r="I875" s="68"/>
      <c r="J875" s="304">
        <f>J872+R835</f>
        <v>0.21226659076601478</v>
      </c>
      <c r="K875" s="304">
        <f t="shared" ref="K875:P875" si="946">K872+S835</f>
        <v>41.06522626019548</v>
      </c>
      <c r="L875" s="304">
        <f t="shared" si="946"/>
        <v>6.2953966746214869</v>
      </c>
      <c r="M875" s="304">
        <f t="shared" si="946"/>
        <v>6.6996343380386891</v>
      </c>
      <c r="N875" s="304">
        <f t="shared" si="946"/>
        <v>9.2104770754153513</v>
      </c>
      <c r="O875" s="304">
        <f t="shared" si="946"/>
        <v>1.5148777052269474E-2</v>
      </c>
      <c r="P875" s="304">
        <f t="shared" si="946"/>
        <v>63.498149716089287</v>
      </c>
      <c r="AJ875" s="216"/>
    </row>
    <row r="876" spans="1:36">
      <c r="A876" t="s">
        <v>284</v>
      </c>
      <c r="J876" s="90">
        <f>J875/((J852*11.63)+J818)*1000000</f>
        <v>436.15138204699753</v>
      </c>
      <c r="K876" s="90">
        <f t="shared" ref="K876:P876" si="947">K875/((K852*11.63)+K818)*1000000</f>
        <v>335.24447285973156</v>
      </c>
      <c r="L876" s="90">
        <f t="shared" si="947"/>
        <v>1555.7572673928603</v>
      </c>
      <c r="M876" s="90">
        <f t="shared" si="947"/>
        <v>364.98346741880005</v>
      </c>
      <c r="N876" s="90">
        <f t="shared" si="947"/>
        <v>429.41169269411756</v>
      </c>
      <c r="O876" s="90">
        <f t="shared" si="947"/>
        <v>17.086911217892592</v>
      </c>
      <c r="P876" s="90">
        <f t="shared" si="947"/>
        <v>378.60024318297189</v>
      </c>
      <c r="AJ876" s="216"/>
    </row>
    <row r="877" spans="1:36">
      <c r="AJ877" s="216"/>
    </row>
    <row r="878" spans="1:36">
      <c r="A878" s="68" t="s">
        <v>285</v>
      </c>
      <c r="B878" s="68"/>
      <c r="C878" s="68"/>
      <c r="D878" s="68"/>
      <c r="E878" s="68"/>
      <c r="F878" s="68"/>
      <c r="G878" s="68"/>
      <c r="H878" s="68"/>
      <c r="I878" s="68"/>
      <c r="J878" s="298">
        <f t="shared" ref="J878:P878" si="948">IFERROR((J$873*J852*11.63/1000000+R835)/(J852*11.63+J818)*1000000,"")</f>
        <v>436.15138204699758</v>
      </c>
      <c r="K878" s="298">
        <f t="shared" si="948"/>
        <v>335.24447285973156</v>
      </c>
      <c r="L878" s="298">
        <f t="shared" si="948"/>
        <v>1555.7572673928603</v>
      </c>
      <c r="M878" s="298">
        <f t="shared" si="948"/>
        <v>364.98346741880005</v>
      </c>
      <c r="N878" s="298">
        <f t="shared" si="948"/>
        <v>429.41169269411756</v>
      </c>
      <c r="O878" s="298">
        <f t="shared" si="948"/>
        <v>17.086911217892592</v>
      </c>
      <c r="P878" s="298">
        <f t="shared" si="948"/>
        <v>378.60024318297189</v>
      </c>
      <c r="Q878" s="284"/>
      <c r="R878" s="285">
        <f>IFERROR(J878/R858-1,"")</f>
        <v>-0.24966537275368461</v>
      </c>
      <c r="S878" s="285">
        <f t="shared" ref="S878:X878" si="949">IFERROR(K878/S858-1,"")</f>
        <v>-0.11157155700711008</v>
      </c>
      <c r="T878" s="285">
        <f t="shared" si="949"/>
        <v>-4.0956953199539403E-2</v>
      </c>
      <c r="U878" s="285">
        <f t="shared" si="949"/>
        <v>-0.36124232994831718</v>
      </c>
      <c r="V878" s="285">
        <f t="shared" si="949"/>
        <v>-0.14970158777211295</v>
      </c>
      <c r="W878" s="285">
        <f t="shared" si="949"/>
        <v>-0.32007778274071375</v>
      </c>
      <c r="X878" s="285">
        <f t="shared" si="949"/>
        <v>-0.14727943117226228</v>
      </c>
      <c r="AJ878" s="216"/>
    </row>
    <row r="879" spans="1:36">
      <c r="A879" s="216" t="s">
        <v>25</v>
      </c>
      <c r="J879" s="211" t="str">
        <f>IFERROR((J$873*J853*11.63/1000000+R836)/(J853*11.63+J819)*1000000,"")</f>
        <v/>
      </c>
      <c r="K879" s="211">
        <f t="shared" ref="K879:P879" si="950">IFERROR((K$873*K853*11.63/1000000+S836)/(K853*11.63+K819)*1000000,"")</f>
        <v>303.61481053124896</v>
      </c>
      <c r="L879" s="211">
        <f t="shared" si="950"/>
        <v>1572.7666079290123</v>
      </c>
      <c r="M879" s="211">
        <f t="shared" si="950"/>
        <v>415.2239935366934</v>
      </c>
      <c r="N879" s="211">
        <f t="shared" si="950"/>
        <v>349.17062676934501</v>
      </c>
      <c r="O879" s="211">
        <f t="shared" si="950"/>
        <v>16.977589555802879</v>
      </c>
      <c r="P879" s="211">
        <f t="shared" si="950"/>
        <v>322.45887907813363</v>
      </c>
      <c r="Q879" s="284"/>
      <c r="R879" s="284" t="str">
        <f>IFERROR(J879/R859-1,"")</f>
        <v/>
      </c>
      <c r="S879" s="284">
        <f t="shared" ref="S879:X879" si="951">IFERROR(K879/S859-1,"")</f>
        <v>-0.19417105203623986</v>
      </c>
      <c r="T879" s="284">
        <f t="shared" si="951"/>
        <v>-5.7945624339146073E-2</v>
      </c>
      <c r="U879" s="284">
        <f t="shared" si="951"/>
        <v>-0.12655751891396405</v>
      </c>
      <c r="V879" s="284">
        <f t="shared" si="951"/>
        <v>-0.13971614433377799</v>
      </c>
      <c r="W879" s="284">
        <f t="shared" si="951"/>
        <v>-0.27095708950094277</v>
      </c>
      <c r="X879" s="284">
        <f t="shared" si="951"/>
        <v>-0.16337541580548254</v>
      </c>
      <c r="AJ879" s="216"/>
    </row>
    <row r="880" spans="1:36">
      <c r="A880" s="216" t="s">
        <v>26</v>
      </c>
      <c r="J880" s="211" t="str">
        <f t="shared" ref="J880:P880" si="952">IFERROR((J$873*J854*11.63/1000000+R837)/(J854*11.63+J820)*1000000,"")</f>
        <v/>
      </c>
      <c r="K880" s="211">
        <f t="shared" si="952"/>
        <v>283.08867353680711</v>
      </c>
      <c r="L880" s="211">
        <f t="shared" si="952"/>
        <v>891.83406900731211</v>
      </c>
      <c r="M880" s="211">
        <f t="shared" si="952"/>
        <v>364.99107480872391</v>
      </c>
      <c r="N880" s="211" t="str">
        <f t="shared" si="952"/>
        <v/>
      </c>
      <c r="O880" s="211">
        <f t="shared" si="952"/>
        <v>6.9553165675682056</v>
      </c>
      <c r="P880" s="211">
        <f t="shared" si="952"/>
        <v>299.41018169179546</v>
      </c>
      <c r="Q880" s="284"/>
      <c r="R880" s="284" t="str">
        <f t="shared" ref="R880:X880" si="953">IFERROR(J880/R860-1,"")</f>
        <v/>
      </c>
      <c r="S880" s="284">
        <f t="shared" si="953"/>
        <v>-0.20133685329806827</v>
      </c>
      <c r="T880" s="284">
        <f t="shared" si="953"/>
        <v>0</v>
      </c>
      <c r="U880" s="284">
        <f t="shared" si="953"/>
        <v>-0.25427316717480808</v>
      </c>
      <c r="V880" s="284" t="str">
        <f t="shared" si="953"/>
        <v/>
      </c>
      <c r="W880" s="284">
        <f t="shared" si="953"/>
        <v>-0.64147821290678442</v>
      </c>
      <c r="X880" s="284">
        <f t="shared" si="953"/>
        <v>-0.19726254616454952</v>
      </c>
      <c r="AJ880" s="216"/>
    </row>
    <row r="881" spans="1:43">
      <c r="A881" s="216" t="s">
        <v>27</v>
      </c>
      <c r="J881" s="211">
        <f t="shared" ref="J881:P881" si="954">IFERROR((J$873*J855*11.63/1000000+R838)/(J855*11.63+J821)*1000000,"")</f>
        <v>458.45140559351438</v>
      </c>
      <c r="K881" s="211">
        <f t="shared" si="954"/>
        <v>344.3372915766252</v>
      </c>
      <c r="L881" s="211">
        <f t="shared" si="954"/>
        <v>1528.5408466898591</v>
      </c>
      <c r="M881" s="211">
        <f t="shared" si="954"/>
        <v>356.03561231383247</v>
      </c>
      <c r="N881" s="211">
        <f t="shared" si="954"/>
        <v>381.84753817325367</v>
      </c>
      <c r="O881" s="211">
        <f t="shared" si="954"/>
        <v>25.747726410672158</v>
      </c>
      <c r="P881" s="211">
        <f t="shared" si="954"/>
        <v>386.51177148333477</v>
      </c>
      <c r="Q881" s="284"/>
      <c r="R881" s="284">
        <f t="shared" ref="R881:X881" si="955">IFERROR(J881/R861-1,"")</f>
        <v>-0.23660863219293671</v>
      </c>
      <c r="S881" s="284">
        <f t="shared" si="955"/>
        <v>-8.4319294876073481E-2</v>
      </c>
      <c r="T881" s="284">
        <f t="shared" si="955"/>
        <v>-3.6690437767766482E-2</v>
      </c>
      <c r="U881" s="284">
        <f t="shared" si="955"/>
        <v>-0.28846306206021355</v>
      </c>
      <c r="V881" s="284">
        <f t="shared" si="955"/>
        <v>-6.8494761446020402E-2</v>
      </c>
      <c r="W881" s="284">
        <f t="shared" si="955"/>
        <v>-0.59246051961283741</v>
      </c>
      <c r="X881" s="284">
        <f t="shared" si="955"/>
        <v>-9.7654145219031485E-2</v>
      </c>
      <c r="AJ881" s="216"/>
    </row>
    <row r="882" spans="1:43">
      <c r="A882" s="216" t="s">
        <v>28</v>
      </c>
      <c r="J882" s="211">
        <f t="shared" ref="J882:P882" si="956">IFERROR((J$873*J856*11.63/1000000+R839)/(J856*11.63+J822)*1000000,"")</f>
        <v>390.51359215091156</v>
      </c>
      <c r="K882" s="211">
        <f t="shared" si="956"/>
        <v>286.02317156738837</v>
      </c>
      <c r="L882" s="211" t="str">
        <f t="shared" si="956"/>
        <v/>
      </c>
      <c r="M882" s="211">
        <f t="shared" si="956"/>
        <v>339.87728972641463</v>
      </c>
      <c r="N882" s="211">
        <f t="shared" si="956"/>
        <v>286.85750535115648</v>
      </c>
      <c r="O882" s="211">
        <f t="shared" si="956"/>
        <v>7.1493433561081376</v>
      </c>
      <c r="P882" s="211">
        <f t="shared" si="956"/>
        <v>298.59737991155879</v>
      </c>
      <c r="Q882" s="284"/>
      <c r="R882" s="284">
        <f t="shared" ref="R882:X882" si="957">IFERROR(J882/R862-1,"")</f>
        <v>-0.13403189227503531</v>
      </c>
      <c r="S882" s="284">
        <f t="shared" si="957"/>
        <v>-0.35400416694802839</v>
      </c>
      <c r="T882" s="284" t="str">
        <f t="shared" si="957"/>
        <v/>
      </c>
      <c r="U882" s="284">
        <f t="shared" si="957"/>
        <v>-0.44651589297124983</v>
      </c>
      <c r="V882" s="284">
        <f t="shared" si="957"/>
        <v>-0.18962935165199901</v>
      </c>
      <c r="W882" s="284">
        <f t="shared" si="957"/>
        <v>-0.66145762803672514</v>
      </c>
      <c r="X882" s="284">
        <f t="shared" si="957"/>
        <v>-0.33842779212618301</v>
      </c>
      <c r="AJ882" s="216"/>
    </row>
    <row r="883" spans="1:43">
      <c r="A883" s="216" t="s">
        <v>29</v>
      </c>
      <c r="J883" s="211" t="str">
        <f t="shared" ref="J883:P883" si="958">IFERROR((J$873*J857*11.63/1000000+R840)/(J857*11.63+J823)*1000000,"")</f>
        <v/>
      </c>
      <c r="K883" s="211">
        <f t="shared" si="958"/>
        <v>334.68606577918399</v>
      </c>
      <c r="L883" s="211">
        <f t="shared" si="958"/>
        <v>2546.5357514462894</v>
      </c>
      <c r="M883" s="211">
        <f t="shared" si="958"/>
        <v>380.81730493705248</v>
      </c>
      <c r="N883" s="211">
        <f t="shared" si="958"/>
        <v>635.86264076183056</v>
      </c>
      <c r="O883" s="211">
        <f t="shared" si="958"/>
        <v>20.10753487065524</v>
      </c>
      <c r="P883" s="211">
        <f t="shared" si="958"/>
        <v>454.68011253115702</v>
      </c>
      <c r="Q883" s="284"/>
      <c r="R883" s="284" t="str">
        <f t="shared" ref="R883:X883" si="959">IFERROR(J883/R863-1,"")</f>
        <v/>
      </c>
      <c r="S883" s="284">
        <f t="shared" si="959"/>
        <v>-0.35172783408070318</v>
      </c>
      <c r="T883" s="284">
        <f t="shared" si="959"/>
        <v>-0.20314645444132229</v>
      </c>
      <c r="U883" s="284">
        <f t="shared" si="959"/>
        <v>-0.41185569641779307</v>
      </c>
      <c r="V883" s="284">
        <f t="shared" si="959"/>
        <v>-0.38010908851473924</v>
      </c>
      <c r="W883" s="284">
        <f t="shared" si="959"/>
        <v>-0.44842729892757005</v>
      </c>
      <c r="X883" s="284">
        <f t="shared" si="959"/>
        <v>-0.4508330670334314</v>
      </c>
      <c r="AJ883" s="216"/>
    </row>
    <row r="884" spans="1:43">
      <c r="J884" s="90"/>
      <c r="K884" s="90"/>
      <c r="L884" s="90"/>
      <c r="M884" s="90"/>
      <c r="N884" s="90"/>
      <c r="O884" s="90"/>
      <c r="AJ884" s="216"/>
    </row>
    <row r="885" spans="1:43">
      <c r="J885" s="90"/>
      <c r="K885" s="90"/>
      <c r="L885" s="90"/>
      <c r="M885" s="90"/>
      <c r="N885" s="90"/>
      <c r="O885" s="90"/>
      <c r="AJ885" s="216"/>
    </row>
    <row r="886" spans="1:43">
      <c r="J886" s="90"/>
      <c r="K886" s="90"/>
      <c r="L886" s="90"/>
      <c r="M886" s="90"/>
      <c r="N886" s="90"/>
      <c r="O886" s="90"/>
      <c r="AJ886" s="216"/>
    </row>
    <row r="887" spans="1:43">
      <c r="J887" s="90"/>
      <c r="K887" s="90"/>
      <c r="L887" s="90"/>
      <c r="M887" s="90"/>
      <c r="N887" s="90"/>
      <c r="O887" s="90"/>
      <c r="AJ887" s="216"/>
    </row>
    <row r="888" spans="1:43">
      <c r="J888" s="90"/>
      <c r="K888" s="90"/>
      <c r="L888" s="90"/>
      <c r="M888" s="90"/>
      <c r="N888" s="90"/>
      <c r="O888" s="90"/>
      <c r="AJ888" s="216"/>
    </row>
    <row r="889" spans="1:43">
      <c r="J889" s="90"/>
      <c r="K889" s="90"/>
      <c r="L889" s="90"/>
      <c r="M889" s="90"/>
      <c r="N889" s="90"/>
      <c r="O889" s="90"/>
      <c r="AJ889" s="216"/>
    </row>
    <row r="890" spans="1:43">
      <c r="J890" s="90"/>
      <c r="K890" s="90"/>
      <c r="L890" s="90"/>
      <c r="M890" s="90"/>
      <c r="N890" s="90"/>
      <c r="O890" s="90"/>
      <c r="AJ890" s="216"/>
    </row>
    <row r="891" spans="1:43">
      <c r="V891">
        <f>174-161</f>
        <v>13</v>
      </c>
      <c r="AJ891" s="216"/>
    </row>
    <row r="892" spans="1:43">
      <c r="V892">
        <f>179-V891</f>
        <v>166</v>
      </c>
      <c r="AJ892" s="216"/>
    </row>
    <row r="893" spans="1:43">
      <c r="A893" s="68" t="s">
        <v>244</v>
      </c>
      <c r="J893" s="68" t="s">
        <v>199</v>
      </c>
      <c r="R893" s="68" t="s">
        <v>136</v>
      </c>
      <c r="S893" s="68"/>
      <c r="AA893" s="68" t="s">
        <v>218</v>
      </c>
      <c r="AB893" s="213" t="s">
        <v>217</v>
      </c>
      <c r="AJ893" s="68" t="s">
        <v>288</v>
      </c>
    </row>
    <row r="894" spans="1:43" ht="15.6">
      <c r="A894" s="68"/>
      <c r="J894" s="210" t="s">
        <v>5</v>
      </c>
      <c r="K894" s="210" t="s">
        <v>210</v>
      </c>
      <c r="L894" s="210" t="s">
        <v>211</v>
      </c>
      <c r="M894" s="210" t="s">
        <v>214</v>
      </c>
      <c r="N894" s="210" t="s">
        <v>216</v>
      </c>
      <c r="O894" s="210" t="s">
        <v>215</v>
      </c>
      <c r="P894" s="210" t="s">
        <v>213</v>
      </c>
      <c r="Q894" s="2"/>
      <c r="R894" s="210" t="s">
        <v>5</v>
      </c>
      <c r="S894" s="210" t="s">
        <v>210</v>
      </c>
      <c r="T894" s="210" t="s">
        <v>211</v>
      </c>
      <c r="U894" s="210" t="s">
        <v>214</v>
      </c>
      <c r="V894" s="210" t="s">
        <v>216</v>
      </c>
      <c r="W894" s="210" t="s">
        <v>215</v>
      </c>
      <c r="X894" s="210" t="s">
        <v>213</v>
      </c>
      <c r="AA894" s="68" t="s">
        <v>5</v>
      </c>
      <c r="AJ894" s="68"/>
      <c r="AK894" s="210" t="s">
        <v>5</v>
      </c>
      <c r="AL894" s="210" t="s">
        <v>210</v>
      </c>
      <c r="AM894" s="210" t="s">
        <v>211</v>
      </c>
      <c r="AN894" s="210" t="s">
        <v>214</v>
      </c>
      <c r="AO894" s="210" t="s">
        <v>216</v>
      </c>
      <c r="AP894" s="210" t="s">
        <v>215</v>
      </c>
      <c r="AQ894" s="210" t="s">
        <v>213</v>
      </c>
    </row>
    <row r="895" spans="1:43" ht="15.6">
      <c r="A895" s="11" t="s">
        <v>17</v>
      </c>
      <c r="J895" s="209">
        <f t="shared" ref="J895:P895" si="960">SUM(J896:J900)</f>
        <v>43069.4</v>
      </c>
      <c r="K895" s="209">
        <f t="shared" si="960"/>
        <v>81680.600000000006</v>
      </c>
      <c r="L895" s="209">
        <f t="shared" si="960"/>
        <v>2059.5</v>
      </c>
      <c r="M895" s="209">
        <f t="shared" si="960"/>
        <v>27658.100000000002</v>
      </c>
      <c r="N895" s="209">
        <f t="shared" si="960"/>
        <v>2008.5</v>
      </c>
      <c r="O895" s="209">
        <f t="shared" si="960"/>
        <v>1053.8</v>
      </c>
      <c r="P895" s="209">
        <f t="shared" si="960"/>
        <v>157529.9</v>
      </c>
      <c r="Q895" s="2"/>
      <c r="R895" s="236">
        <v>9.7887383999999997</v>
      </c>
      <c r="S895" s="236">
        <v>7.2808451999999999</v>
      </c>
      <c r="T895" s="236">
        <v>10.165550399999999</v>
      </c>
      <c r="U895" s="236">
        <v>9.5793983999999988</v>
      </c>
      <c r="V895" s="236">
        <v>18.451227599999999</v>
      </c>
      <c r="W895" s="236">
        <v>10.718208000000001</v>
      </c>
      <c r="X895" s="236">
        <v>8.5745664000000001</v>
      </c>
      <c r="Z895" s="199">
        <f>AA895*AB895</f>
        <v>957945.97731600225</v>
      </c>
      <c r="AA895" s="237">
        <v>10159.1</v>
      </c>
      <c r="AB895" s="276">
        <v>94.29437423748189</v>
      </c>
      <c r="AC895" s="216" t="s">
        <v>59</v>
      </c>
      <c r="AH895" s="216"/>
      <c r="AI895" s="237"/>
      <c r="AJ895" s="11" t="s">
        <v>17</v>
      </c>
      <c r="AK895" s="286">
        <f>IFERROR(J895*3.6/J912,"")</f>
        <v>0.36776955853677729</v>
      </c>
      <c r="AL895" s="286">
        <f t="shared" ref="AL895:AL907" si="961">IFERROR(K895*3.6/K912,"")</f>
        <v>0.49448518056676388</v>
      </c>
      <c r="AM895" s="286">
        <f t="shared" ref="AM895:AM907" si="962">IFERROR(L895*3.6/L912,"")</f>
        <v>0.35415429116275626</v>
      </c>
      <c r="AN895" s="286">
        <f t="shared" ref="AN895:AN907" si="963">IFERROR(M895*3.6/M912,"")</f>
        <v>0.3757536569378479</v>
      </c>
      <c r="AO895" s="286">
        <f t="shared" ref="AO895:AO907" si="964">IFERROR(N895*3.6/N912,"")</f>
        <v>0.19514083708283092</v>
      </c>
      <c r="AP895" s="286">
        <f t="shared" ref="AP895:AP904" si="965">IFERROR(O895*3.6/O912,"")</f>
        <v>0.33586045906208917</v>
      </c>
      <c r="AQ895" s="286">
        <f t="shared" ref="AQ895:AQ907" si="966">IFERROR(P895*3.6/P912,"")</f>
        <v>0.41991702994863439</v>
      </c>
    </row>
    <row r="896" spans="1:43">
      <c r="A896" s="10" t="s">
        <v>18</v>
      </c>
      <c r="K896">
        <v>256.39999999999998</v>
      </c>
      <c r="L896">
        <v>23.6</v>
      </c>
      <c r="M896">
        <v>270.7</v>
      </c>
      <c r="N896">
        <v>34.299999999999997</v>
      </c>
      <c r="O896">
        <v>1017.6</v>
      </c>
      <c r="P896" s="68">
        <f>SUM(J896:O896)</f>
        <v>1602.6</v>
      </c>
      <c r="R896" s="201"/>
      <c r="S896" s="201">
        <v>9.8808479999999985</v>
      </c>
      <c r="T896" s="201">
        <v>9.0393011999999988</v>
      </c>
      <c r="U896" s="201">
        <v>9.8347932</v>
      </c>
      <c r="V896" s="201">
        <v>33.875398799999999</v>
      </c>
      <c r="W896" s="201">
        <v>10.630285199999999</v>
      </c>
      <c r="X896" s="236">
        <v>10.8521856</v>
      </c>
      <c r="Z896" s="199">
        <f>AA896*AB896</f>
        <v>0</v>
      </c>
      <c r="AA896" s="237">
        <v>0</v>
      </c>
      <c r="AB896" s="216">
        <v>94.305048520078358</v>
      </c>
      <c r="AC896" s="216" t="s">
        <v>60</v>
      </c>
      <c r="AH896" s="216"/>
      <c r="AI896" s="237"/>
      <c r="AJ896" s="10" t="s">
        <v>18</v>
      </c>
      <c r="AK896" s="56" t="str">
        <f t="shared" ref="AK896:AK907" si="967">IFERROR(J896*3.6/J913,"")</f>
        <v/>
      </c>
      <c r="AL896" s="56">
        <f t="shared" si="961"/>
        <v>0.3643411982453329</v>
      </c>
      <c r="AM896" s="56">
        <f t="shared" si="962"/>
        <v>0.39826087441361069</v>
      </c>
      <c r="AN896" s="56">
        <f t="shared" si="963"/>
        <v>0.36604735115325054</v>
      </c>
      <c r="AO896" s="56">
        <f t="shared" si="964"/>
        <v>0.10627181162513724</v>
      </c>
      <c r="AP896" s="56">
        <f t="shared" si="965"/>
        <v>0.33865507202008088</v>
      </c>
      <c r="AQ896" s="286">
        <f t="shared" si="966"/>
        <v>0.33179437558999003</v>
      </c>
    </row>
    <row r="897" spans="1:43">
      <c r="A897" s="10" t="s">
        <v>19</v>
      </c>
      <c r="K897">
        <v>725.4</v>
      </c>
      <c r="M897">
        <v>94.1</v>
      </c>
      <c r="O897">
        <v>36.200000000000003</v>
      </c>
      <c r="P897" s="68">
        <f>SUM(J897:O897)</f>
        <v>855.7</v>
      </c>
      <c r="R897" s="201"/>
      <c r="S897" s="201">
        <v>12.2589504</v>
      </c>
      <c r="T897" s="201"/>
      <c r="U897" s="201">
        <v>15.813543599999999</v>
      </c>
      <c r="V897" s="201"/>
      <c r="W897" s="201">
        <v>13.2051672</v>
      </c>
      <c r="X897" s="236">
        <v>12.6901908</v>
      </c>
      <c r="Z897" s="199">
        <f>AA897*AB897</f>
        <v>0</v>
      </c>
      <c r="AA897" s="237">
        <v>0</v>
      </c>
      <c r="AB897" s="216">
        <v>101</v>
      </c>
      <c r="AC897" s="216" t="s">
        <v>61</v>
      </c>
      <c r="AH897" s="216"/>
      <c r="AI897" s="237"/>
      <c r="AJ897" s="10" t="s">
        <v>19</v>
      </c>
      <c r="AK897" s="56" t="str">
        <f t="shared" si="967"/>
        <v/>
      </c>
      <c r="AL897" s="56">
        <f t="shared" si="961"/>
        <v>0.29366298765675736</v>
      </c>
      <c r="AM897" s="56" t="str">
        <f t="shared" si="962"/>
        <v/>
      </c>
      <c r="AN897" s="56">
        <f t="shared" si="963"/>
        <v>0.22765295945432498</v>
      </c>
      <c r="AO897" s="56" t="str">
        <f t="shared" si="964"/>
        <v/>
      </c>
      <c r="AP897" s="56">
        <f t="shared" si="965"/>
        <v>0.27262055417215775</v>
      </c>
      <c r="AQ897" s="286">
        <f t="shared" si="966"/>
        <v>0.2836907876450111</v>
      </c>
    </row>
    <row r="898" spans="1:43">
      <c r="A898" s="10" t="s">
        <v>20</v>
      </c>
      <c r="J898">
        <v>43069.4</v>
      </c>
      <c r="K898">
        <v>5928.7</v>
      </c>
      <c r="L898">
        <v>2035.9</v>
      </c>
      <c r="M898">
        <v>25264.2</v>
      </c>
      <c r="N898">
        <v>1952.5</v>
      </c>
      <c r="P898" s="68">
        <f>SUM(J898:O898)</f>
        <v>78250.7</v>
      </c>
      <c r="R898" s="201">
        <v>9.7887383999999997</v>
      </c>
      <c r="S898" s="201">
        <v>9.4789151999999994</v>
      </c>
      <c r="T898" s="201">
        <v>10.178110800000001</v>
      </c>
      <c r="U898" s="201">
        <v>9.6296399999999984</v>
      </c>
      <c r="V898" s="201">
        <v>18.216766799999998</v>
      </c>
      <c r="W898" s="201"/>
      <c r="X898" s="236">
        <v>9.9352764000000011</v>
      </c>
      <c r="Z898" s="199">
        <f>AA898*AB898</f>
        <v>0</v>
      </c>
      <c r="AA898" s="237">
        <v>0</v>
      </c>
      <c r="AB898" s="219">
        <v>96.1</v>
      </c>
      <c r="AC898" s="216" t="s">
        <v>62</v>
      </c>
      <c r="AH898" s="216"/>
      <c r="AI898" s="237"/>
      <c r="AJ898" s="10" t="s">
        <v>20</v>
      </c>
      <c r="AK898" s="56">
        <f t="shared" si="967"/>
        <v>0.36776955853677729</v>
      </c>
      <c r="AL898" s="56">
        <f t="shared" si="961"/>
        <v>0.37979029499071798</v>
      </c>
      <c r="AM898" s="56">
        <f t="shared" si="962"/>
        <v>0.3537002171365633</v>
      </c>
      <c r="AN898" s="56">
        <f t="shared" si="963"/>
        <v>0.37384575124303721</v>
      </c>
      <c r="AO898" s="56">
        <f t="shared" si="964"/>
        <v>0.19762013970558159</v>
      </c>
      <c r="AP898" s="56" t="str">
        <f t="shared" si="965"/>
        <v/>
      </c>
      <c r="AQ898" s="286">
        <f t="shared" si="966"/>
        <v>0.36237999883101413</v>
      </c>
    </row>
    <row r="899" spans="1:43">
      <c r="A899" s="10" t="s">
        <v>21</v>
      </c>
      <c r="K899">
        <v>58677.5</v>
      </c>
      <c r="M899">
        <v>2.7</v>
      </c>
      <c r="N899">
        <v>21.7</v>
      </c>
      <c r="P899" s="68">
        <f>SUM(J899:O899)</f>
        <v>58701.899999999994</v>
      </c>
      <c r="R899" s="201"/>
      <c r="S899" s="201">
        <v>6.5774627999999993</v>
      </c>
      <c r="T899" s="201"/>
      <c r="U899" s="201">
        <v>17.3919672</v>
      </c>
      <c r="V899" s="201">
        <v>14.888260799999999</v>
      </c>
      <c r="W899" s="201"/>
      <c r="X899" s="236">
        <v>6.5816496000000004</v>
      </c>
      <c r="AA899" s="68" t="s">
        <v>210</v>
      </c>
      <c r="AH899" s="223"/>
      <c r="AI899" s="240"/>
      <c r="AJ899" s="10" t="s">
        <v>21</v>
      </c>
      <c r="AK899" s="56" t="str">
        <f t="shared" si="967"/>
        <v/>
      </c>
      <c r="AL899" s="56">
        <f t="shared" si="961"/>
        <v>0.5473235059573428</v>
      </c>
      <c r="AM899" s="56" t="str">
        <f t="shared" si="962"/>
        <v/>
      </c>
      <c r="AN899" s="56">
        <f t="shared" si="963"/>
        <v>0.20699211070269269</v>
      </c>
      <c r="AO899" s="56">
        <f t="shared" si="964"/>
        <v>0.24180124517969223</v>
      </c>
      <c r="AP899" s="56" t="str">
        <f t="shared" si="965"/>
        <v/>
      </c>
      <c r="AQ899" s="286">
        <f t="shared" si="966"/>
        <v>0.54702663202796986</v>
      </c>
    </row>
    <row r="900" spans="1:43">
      <c r="A900" s="10" t="s">
        <v>23</v>
      </c>
      <c r="K900">
        <v>16092.6</v>
      </c>
      <c r="M900">
        <v>2026.4</v>
      </c>
      <c r="P900" s="68">
        <f>SUM(J900:O900)</f>
        <v>18119</v>
      </c>
      <c r="R900" s="201"/>
      <c r="S900" s="201">
        <v>8.7671591999999983</v>
      </c>
      <c r="T900" s="201"/>
      <c r="U900" s="201">
        <v>8.6373683999999997</v>
      </c>
      <c r="V900" s="201"/>
      <c r="W900" s="201"/>
      <c r="X900" s="236">
        <v>8.7545988000000001</v>
      </c>
      <c r="AA900" s="237">
        <v>25283.599999999999</v>
      </c>
      <c r="AB900" s="216">
        <v>55.871124635974198</v>
      </c>
      <c r="AC900" s="216" t="s">
        <v>63</v>
      </c>
      <c r="AH900" s="216"/>
      <c r="AI900" s="237"/>
      <c r="AJ900" s="10" t="s">
        <v>23</v>
      </c>
      <c r="AK900" s="56" t="str">
        <f t="shared" si="967"/>
        <v/>
      </c>
      <c r="AL900" s="56">
        <f t="shared" si="961"/>
        <v>0.41062331798423379</v>
      </c>
      <c r="AM900" s="56" t="str">
        <f t="shared" si="962"/>
        <v/>
      </c>
      <c r="AN900" s="56">
        <f t="shared" si="963"/>
        <v>0.41679361505525231</v>
      </c>
      <c r="AO900" s="56" t="str">
        <f t="shared" si="964"/>
        <v/>
      </c>
      <c r="AP900" s="56" t="str">
        <f t="shared" si="965"/>
        <v/>
      </c>
      <c r="AQ900" s="286">
        <f t="shared" si="966"/>
        <v>0.41130430561577208</v>
      </c>
    </row>
    <row r="901" spans="1:43">
      <c r="A901" s="11" t="s">
        <v>24</v>
      </c>
      <c r="J901" s="209">
        <f t="shared" ref="J901:P901" si="968">SUM(J902:J906)</f>
        <v>536.9</v>
      </c>
      <c r="K901" s="209">
        <f t="shared" si="968"/>
        <v>67578.060000000012</v>
      </c>
      <c r="L901" s="209">
        <f t="shared" si="968"/>
        <v>3777.4399999999996</v>
      </c>
      <c r="M901" s="209">
        <f t="shared" si="968"/>
        <v>8188.5800000000008</v>
      </c>
      <c r="N901" s="209">
        <f t="shared" si="968"/>
        <v>14115.220000000001</v>
      </c>
      <c r="O901" s="209">
        <f t="shared" si="968"/>
        <v>230.8</v>
      </c>
      <c r="P901" s="209">
        <f t="shared" si="968"/>
        <v>94427.000000000015</v>
      </c>
      <c r="R901" s="236">
        <v>7.0756919999999992</v>
      </c>
      <c r="S901" s="236">
        <v>6.8621651999999997</v>
      </c>
      <c r="T901" s="236">
        <v>8.5955003999999988</v>
      </c>
      <c r="U901" s="236">
        <v>7.933986</v>
      </c>
      <c r="V901" s="236">
        <v>7.5362400000000003</v>
      </c>
      <c r="W901" s="236">
        <v>8.0093484000000004</v>
      </c>
      <c r="X901" s="236">
        <v>7.1301204</v>
      </c>
      <c r="Z901" s="199"/>
      <c r="AA901" s="209" t="s">
        <v>237</v>
      </c>
      <c r="AH901" s="223"/>
      <c r="AI901" s="240"/>
      <c r="AJ901" s="11" t="s">
        <v>24</v>
      </c>
      <c r="AK901" s="286">
        <f t="shared" si="967"/>
        <v>0.5087841584964411</v>
      </c>
      <c r="AL901" s="286">
        <f t="shared" si="961"/>
        <v>0.52443936659819768</v>
      </c>
      <c r="AM901" s="286">
        <f t="shared" si="962"/>
        <v>0.4188154182462015</v>
      </c>
      <c r="AN901" s="286">
        <f t="shared" si="963"/>
        <v>0.4537456684331404</v>
      </c>
      <c r="AO901" s="286">
        <f t="shared" si="964"/>
        <v>0.47768250484681762</v>
      </c>
      <c r="AP901" s="286">
        <f t="shared" si="965"/>
        <v>0.44948494665098226</v>
      </c>
      <c r="AQ901" s="286">
        <f t="shared" si="966"/>
        <v>0.5048443600091127</v>
      </c>
    </row>
    <row r="902" spans="1:43">
      <c r="A902" s="10" t="s">
        <v>25</v>
      </c>
      <c r="K902">
        <v>1723.14</v>
      </c>
      <c r="L902">
        <v>159.69999999999999</v>
      </c>
      <c r="M902">
        <v>88.1</v>
      </c>
      <c r="N902">
        <v>174.6</v>
      </c>
      <c r="O902">
        <v>113</v>
      </c>
      <c r="P902" s="68">
        <f>SUM(J902:O902)</f>
        <v>2258.54</v>
      </c>
      <c r="R902" s="201"/>
      <c r="S902" s="201">
        <v>6.4895399999999999</v>
      </c>
      <c r="T902" s="201">
        <v>9.0267408000000007</v>
      </c>
      <c r="U902" s="201">
        <v>7.6199760000000003</v>
      </c>
      <c r="V902" s="201">
        <v>6.7533083999999999</v>
      </c>
      <c r="W902" s="201">
        <v>8.4782700000000002</v>
      </c>
      <c r="X902" s="236">
        <v>6.8328575999999996</v>
      </c>
      <c r="Z902" s="199">
        <f>AA902*AB902</f>
        <v>20923.624976985011</v>
      </c>
      <c r="AA902" s="237">
        <v>105.9</v>
      </c>
      <c r="AB902" s="216">
        <v>197.57908382422107</v>
      </c>
      <c r="AC902" s="216" t="s">
        <v>154</v>
      </c>
      <c r="AH902" s="216"/>
      <c r="AI902" s="237"/>
      <c r="AJ902" s="10" t="s">
        <v>25</v>
      </c>
      <c r="AK902" s="56" t="str">
        <f t="shared" si="967"/>
        <v/>
      </c>
      <c r="AL902" s="56">
        <f t="shared" si="961"/>
        <v>0.55473885668321632</v>
      </c>
      <c r="AM902" s="56">
        <f t="shared" si="962"/>
        <v>0.39881504075092084</v>
      </c>
      <c r="AN902" s="56">
        <f t="shared" si="963"/>
        <v>0.47244243288955234</v>
      </c>
      <c r="AO902" s="56">
        <f t="shared" si="964"/>
        <v>0.53307205694915394</v>
      </c>
      <c r="AP902" s="56">
        <f t="shared" si="965"/>
        <v>0.42461492733777056</v>
      </c>
      <c r="AQ902" s="286">
        <f t="shared" si="966"/>
        <v>0.52686027094814558</v>
      </c>
    </row>
    <row r="903" spans="1:43">
      <c r="A903" s="10" t="s">
        <v>26</v>
      </c>
      <c r="K903">
        <v>5494.84</v>
      </c>
      <c r="M903">
        <v>549.6</v>
      </c>
      <c r="N903">
        <v>31.5</v>
      </c>
      <c r="O903">
        <v>0.6</v>
      </c>
      <c r="P903" s="68">
        <f>SUM(J903:O903)</f>
        <v>6076.5400000000009</v>
      </c>
      <c r="R903" s="201"/>
      <c r="S903" s="201">
        <v>6.6653856000000005</v>
      </c>
      <c r="T903" s="201"/>
      <c r="U903" s="201">
        <v>6.5021003999999998</v>
      </c>
      <c r="V903" s="201">
        <v>5.2167528000000001</v>
      </c>
      <c r="W903" s="201">
        <v>11.555567999999999</v>
      </c>
      <c r="X903" s="236">
        <v>6.6444516</v>
      </c>
      <c r="Z903" s="199">
        <f>AA903*AB903</f>
        <v>231724.41016036036</v>
      </c>
      <c r="AA903" s="237">
        <v>878.9</v>
      </c>
      <c r="AB903">
        <v>263.65275931318735</v>
      </c>
      <c r="AC903" s="216" t="s">
        <v>155</v>
      </c>
      <c r="AH903" s="216"/>
      <c r="AI903" s="237"/>
      <c r="AJ903" s="10" t="s">
        <v>26</v>
      </c>
      <c r="AK903" s="56" t="str">
        <f t="shared" si="967"/>
        <v/>
      </c>
      <c r="AL903" s="56">
        <f t="shared" si="961"/>
        <v>0.5401037863435838</v>
      </c>
      <c r="AM903" s="56" t="str">
        <f t="shared" si="962"/>
        <v/>
      </c>
      <c r="AN903" s="56">
        <f t="shared" si="963"/>
        <v>0.55366724266515488</v>
      </c>
      <c r="AO903" s="56">
        <f t="shared" si="964"/>
        <v>0.69008445253530126</v>
      </c>
      <c r="AP903" s="56">
        <f t="shared" si="965"/>
        <v>0.31153812603586434</v>
      </c>
      <c r="AQ903" s="286">
        <f t="shared" si="966"/>
        <v>0.54187566965075007</v>
      </c>
    </row>
    <row r="904" spans="1:43">
      <c r="A904" s="10" t="s">
        <v>27</v>
      </c>
      <c r="K904">
        <v>56993.14</v>
      </c>
      <c r="L904">
        <v>3323.74</v>
      </c>
      <c r="M904">
        <v>1944.4</v>
      </c>
      <c r="N904">
        <v>10410.44</v>
      </c>
      <c r="O904">
        <v>0.6</v>
      </c>
      <c r="P904" s="68">
        <f>SUM(J904:O904)</f>
        <v>72672.320000000007</v>
      </c>
      <c r="R904" s="201"/>
      <c r="S904" s="201">
        <v>6.9249671999999993</v>
      </c>
      <c r="T904" s="201">
        <v>8.2186883999999996</v>
      </c>
      <c r="U904" s="201">
        <v>7.85025</v>
      </c>
      <c r="V904" s="201">
        <v>6.2508924000000006</v>
      </c>
      <c r="W904" s="201">
        <v>12.840915600000001</v>
      </c>
      <c r="X904" s="236">
        <v>6.9124068000000003</v>
      </c>
      <c r="Z904" s="199">
        <f>AA904*AB904</f>
        <v>12031.861655884784</v>
      </c>
      <c r="AA904" s="237">
        <v>285.60000000000002</v>
      </c>
      <c r="AB904">
        <v>42.128367142453726</v>
      </c>
      <c r="AC904" s="216" t="s">
        <v>156</v>
      </c>
      <c r="AH904" s="216"/>
      <c r="AI904" s="237"/>
      <c r="AJ904" s="10" t="s">
        <v>27</v>
      </c>
      <c r="AK904" s="56" t="str">
        <f t="shared" si="967"/>
        <v/>
      </c>
      <c r="AL904" s="56">
        <f t="shared" si="961"/>
        <v>0.51985805795585582</v>
      </c>
      <c r="AM904" s="56">
        <f t="shared" si="962"/>
        <v>0.43802609671879034</v>
      </c>
      <c r="AN904" s="56">
        <f t="shared" si="963"/>
        <v>0.45858412152479217</v>
      </c>
      <c r="AO904" s="56">
        <f t="shared" si="964"/>
        <v>0.57591776815739137</v>
      </c>
      <c r="AP904" s="56">
        <f t="shared" si="965"/>
        <v>0.28035384018877907</v>
      </c>
      <c r="AQ904" s="286">
        <f t="shared" si="966"/>
        <v>0.52080471345539836</v>
      </c>
    </row>
    <row r="905" spans="1:43">
      <c r="A905" s="10" t="s">
        <v>28</v>
      </c>
      <c r="J905">
        <v>536.9</v>
      </c>
      <c r="K905">
        <v>2216.1999999999998</v>
      </c>
      <c r="L905">
        <v>14.4</v>
      </c>
      <c r="M905">
        <v>1281.6400000000001</v>
      </c>
      <c r="N905">
        <v>1274.44</v>
      </c>
      <c r="O905">
        <v>19.8</v>
      </c>
      <c r="P905" s="68">
        <f>SUM(J905:O905)</f>
        <v>5343.38</v>
      </c>
      <c r="R905" s="201">
        <v>7.0756919999999992</v>
      </c>
      <c r="S905" s="201">
        <v>5.3842248000000001</v>
      </c>
      <c r="T905" s="201">
        <v>6.7742424000000003</v>
      </c>
      <c r="U905" s="201">
        <v>5.2209396000000003</v>
      </c>
      <c r="V905" s="201">
        <v>8.892763200000001</v>
      </c>
      <c r="W905" s="201">
        <v>9.4370472000000003</v>
      </c>
      <c r="X905" s="236">
        <v>6.3681227999999992</v>
      </c>
      <c r="Z905" s="199">
        <f>AA905*AB905</f>
        <v>284.93763564346858</v>
      </c>
      <c r="AA905" s="237">
        <v>5.0999999999999996</v>
      </c>
      <c r="AB905" s="216">
        <v>55.870124635974236</v>
      </c>
      <c r="AC905" s="217" t="s">
        <v>220</v>
      </c>
      <c r="AH905" s="223"/>
      <c r="AI905" s="240"/>
      <c r="AJ905" s="10" t="s">
        <v>28</v>
      </c>
      <c r="AK905" s="56">
        <f t="shared" si="967"/>
        <v>0.5087841584964411</v>
      </c>
      <c r="AL905" s="56">
        <f t="shared" si="961"/>
        <v>0.66861992835068851</v>
      </c>
      <c r="AM905" s="56">
        <f t="shared" si="962"/>
        <v>0.53142473909702437</v>
      </c>
      <c r="AN905" s="56">
        <f t="shared" si="963"/>
        <v>0.68953105682356486</v>
      </c>
      <c r="AO905" s="56">
        <f t="shared" si="964"/>
        <v>0.40482355360592531</v>
      </c>
      <c r="AP905" s="56">
        <f>IFERROR(O905*3.6/O922,"")</f>
        <v>0.38147525637044605</v>
      </c>
      <c r="AQ905" s="286">
        <f t="shared" si="966"/>
        <v>0.56509620490483481</v>
      </c>
    </row>
    <row r="906" spans="1:43">
      <c r="A906" s="10" t="s">
        <v>29</v>
      </c>
      <c r="K906">
        <v>1150.74</v>
      </c>
      <c r="L906">
        <v>279.60000000000002</v>
      </c>
      <c r="M906">
        <v>4324.84</v>
      </c>
      <c r="N906">
        <v>2224.2399999999998</v>
      </c>
      <c r="O906">
        <v>96.8</v>
      </c>
      <c r="P906" s="68">
        <f>SUM(J906:O906)</f>
        <v>8076.22</v>
      </c>
      <c r="R906" s="201"/>
      <c r="S906" s="201">
        <v>8.2312487999999995</v>
      </c>
      <c r="T906" s="201">
        <v>12.924651600000001</v>
      </c>
      <c r="U906" s="201">
        <v>8.9639387999999993</v>
      </c>
      <c r="V906" s="201">
        <v>12.870223199999998</v>
      </c>
      <c r="W906" s="201">
        <v>7.1175599999999992</v>
      </c>
      <c r="X906" s="236">
        <v>10.048319999999999</v>
      </c>
      <c r="AA906" s="209" t="s">
        <v>238</v>
      </c>
      <c r="AH906" s="216"/>
      <c r="AI906" s="237"/>
      <c r="AJ906" s="10" t="s">
        <v>29</v>
      </c>
      <c r="AK906" s="56" t="str">
        <f t="shared" si="967"/>
        <v/>
      </c>
      <c r="AL906" s="56">
        <f t="shared" si="961"/>
        <v>0.43735769474007397</v>
      </c>
      <c r="AM906" s="56">
        <f t="shared" si="962"/>
        <v>0.27853748877842088</v>
      </c>
      <c r="AN906" s="56">
        <f t="shared" si="963"/>
        <v>0.40160916761279103</v>
      </c>
      <c r="AO906" s="56">
        <f t="shared" si="964"/>
        <v>0.27971542871144617</v>
      </c>
      <c r="AP906" s="56">
        <f>IFERROR(O906*3.6/O923,"")</f>
        <v>0.50579131050528559</v>
      </c>
      <c r="AQ906" s="286">
        <f t="shared" si="966"/>
        <v>0.35819662064362157</v>
      </c>
    </row>
    <row r="907" spans="1:43" ht="15.6">
      <c r="A907" s="11" t="s">
        <v>10</v>
      </c>
      <c r="J907" s="209">
        <f t="shared" ref="J907:P907" si="969">J895+J901</f>
        <v>43606.3</v>
      </c>
      <c r="K907" s="209">
        <f t="shared" si="969"/>
        <v>149258.66000000003</v>
      </c>
      <c r="L907" s="209">
        <f t="shared" si="969"/>
        <v>5836.94</v>
      </c>
      <c r="M907" s="209">
        <f t="shared" si="969"/>
        <v>35846.68</v>
      </c>
      <c r="N907" s="209">
        <f t="shared" si="969"/>
        <v>16123.720000000001</v>
      </c>
      <c r="O907" s="209">
        <f t="shared" si="969"/>
        <v>1284.5999999999999</v>
      </c>
      <c r="P907" s="209">
        <f t="shared" si="969"/>
        <v>251956.90000000002</v>
      </c>
      <c r="Q907" s="2"/>
      <c r="R907" s="236">
        <v>9.7552439999999994</v>
      </c>
      <c r="S907" s="236">
        <v>7.0924391999999994</v>
      </c>
      <c r="T907" s="236">
        <v>9.1481580000000005</v>
      </c>
      <c r="U907" s="236">
        <v>9.2067731999999989</v>
      </c>
      <c r="V907" s="236">
        <v>8.8969500000000004</v>
      </c>
      <c r="W907" s="236">
        <v>10.2325392</v>
      </c>
      <c r="X907" s="236">
        <v>8.0344692000000002</v>
      </c>
      <c r="Z907" s="199">
        <f t="shared" ref="Z907:Z915" si="970">AA907*AB907</f>
        <v>0</v>
      </c>
      <c r="AA907" s="237">
        <v>0</v>
      </c>
      <c r="AB907" s="177">
        <v>71.5</v>
      </c>
      <c r="AC907" s="216" t="s">
        <v>66</v>
      </c>
      <c r="AH907" s="216"/>
      <c r="AI907" s="237"/>
      <c r="AJ907" s="11" t="s">
        <v>10</v>
      </c>
      <c r="AK907" s="286">
        <f t="shared" si="967"/>
        <v>0.36902887538691292</v>
      </c>
      <c r="AL907" s="286">
        <f t="shared" si="961"/>
        <v>0.50761202448789799</v>
      </c>
      <c r="AM907" s="286">
        <f t="shared" si="962"/>
        <v>0.39346783462333884</v>
      </c>
      <c r="AN907" s="286">
        <f t="shared" si="963"/>
        <v>0.3911103091993493</v>
      </c>
      <c r="AO907" s="286">
        <f t="shared" si="964"/>
        <v>0.40469211663231924</v>
      </c>
      <c r="AP907" s="286">
        <f>IFERROR(O907*3.6/O924,"")</f>
        <v>0.35184021531813958</v>
      </c>
      <c r="AQ907" s="286">
        <f t="shared" si="966"/>
        <v>0.44817267818507761</v>
      </c>
    </row>
    <row r="908" spans="1:43">
      <c r="J908" s="284">
        <f t="shared" ref="J908:O908" si="971">J907/$P$907</f>
        <v>0.17307047356115271</v>
      </c>
      <c r="K908" s="284">
        <f t="shared" si="971"/>
        <v>0.5923975886351992</v>
      </c>
      <c r="L908" s="284">
        <f t="shared" si="971"/>
        <v>2.3166422511151707E-2</v>
      </c>
      <c r="M908" s="284">
        <f t="shared" si="971"/>
        <v>0.14227306336917145</v>
      </c>
      <c r="N908" s="284">
        <f t="shared" si="971"/>
        <v>6.399396087187928E-2</v>
      </c>
      <c r="O908" s="284">
        <f t="shared" si="971"/>
        <v>5.0984910514457029E-3</v>
      </c>
      <c r="Z908" s="199">
        <f t="shared" si="970"/>
        <v>19753.276521569729</v>
      </c>
      <c r="AA908" s="237">
        <v>212.5</v>
      </c>
      <c r="AB908" s="177">
        <v>92.956595395622259</v>
      </c>
      <c r="AC908" s="216" t="s">
        <v>67</v>
      </c>
      <c r="AH908" s="216"/>
      <c r="AI908" s="237"/>
    </row>
    <row r="909" spans="1:43">
      <c r="Z909" s="199">
        <f t="shared" si="970"/>
        <v>788.75</v>
      </c>
      <c r="AA909" s="237">
        <v>12.5</v>
      </c>
      <c r="AB909" s="177">
        <v>63.1</v>
      </c>
      <c r="AC909" s="216" t="s">
        <v>69</v>
      </c>
      <c r="AH909" s="216"/>
      <c r="AI909" s="237"/>
    </row>
    <row r="910" spans="1:43">
      <c r="J910" s="68" t="s">
        <v>189</v>
      </c>
      <c r="Z910" s="199">
        <f t="shared" si="970"/>
        <v>23592.261747043805</v>
      </c>
      <c r="AA910" s="237">
        <v>404.6</v>
      </c>
      <c r="AB910" s="177">
        <v>58.310088351566499</v>
      </c>
      <c r="AC910" s="216" t="s">
        <v>70</v>
      </c>
      <c r="AH910" s="216"/>
      <c r="AI910" s="237"/>
    </row>
    <row r="911" spans="1:43">
      <c r="A911" s="68" t="str">
        <f>$A$893</f>
        <v>Dati 2005 lorda</v>
      </c>
      <c r="J911" s="210" t="s">
        <v>5</v>
      </c>
      <c r="K911" s="210" t="s">
        <v>210</v>
      </c>
      <c r="L911" s="210" t="s">
        <v>211</v>
      </c>
      <c r="M911" s="210" t="s">
        <v>214</v>
      </c>
      <c r="N911" s="210" t="s">
        <v>216</v>
      </c>
      <c r="O911" s="210" t="s">
        <v>215</v>
      </c>
      <c r="P911" s="210" t="s">
        <v>213</v>
      </c>
      <c r="R911" s="68" t="s">
        <v>234</v>
      </c>
      <c r="Z911" s="199">
        <f t="shared" si="970"/>
        <v>14968.199999999999</v>
      </c>
      <c r="AA911" s="237">
        <v>202</v>
      </c>
      <c r="AB911" s="177">
        <v>74.099999999999994</v>
      </c>
      <c r="AC911" s="216" t="s">
        <v>71</v>
      </c>
      <c r="AH911" s="216"/>
      <c r="AI911" s="237"/>
      <c r="AJ911" s="68"/>
    </row>
    <row r="912" spans="1:43">
      <c r="A912" s="11" t="s">
        <v>17</v>
      </c>
      <c r="J912" s="209">
        <f t="shared" ref="J912:O912" si="972">SUM(J913:J917)</f>
        <v>421595.08964496001</v>
      </c>
      <c r="K912" s="209">
        <f t="shared" si="972"/>
        <v>594659.1961825199</v>
      </c>
      <c r="L912" s="209">
        <f t="shared" si="972"/>
        <v>20934.943286040001</v>
      </c>
      <c r="M912" s="209">
        <f t="shared" si="972"/>
        <v>264985.20549719996</v>
      </c>
      <c r="N912" s="209">
        <f t="shared" si="972"/>
        <v>37053.238615199989</v>
      </c>
      <c r="O912" s="209">
        <f t="shared" si="972"/>
        <v>11295.40527216</v>
      </c>
      <c r="P912" s="212">
        <f t="shared" ref="P912:P923" si="973">SUM(J912:O912)</f>
        <v>1350523.0784980797</v>
      </c>
      <c r="Q912" s="198"/>
      <c r="R912" s="209">
        <f t="shared" ref="R912:W912" si="974">SUM(R913:R917)</f>
        <v>39.753607752786522</v>
      </c>
      <c r="S912" s="209">
        <f t="shared" si="974"/>
        <v>33.584524222670481</v>
      </c>
      <c r="T912" s="209">
        <f t="shared" si="974"/>
        <v>4.3487623020292494</v>
      </c>
      <c r="U912" s="209">
        <f t="shared" si="974"/>
        <v>19.963652912377928</v>
      </c>
      <c r="V912" s="209">
        <f t="shared" si="974"/>
        <v>2.2780792149702433</v>
      </c>
      <c r="W912" s="209">
        <f t="shared" si="974"/>
        <v>6.6742595156781034E-2</v>
      </c>
      <c r="X912" s="220">
        <f t="shared" ref="X912:X923" si="975">SUM(R912:W912)</f>
        <v>99.9953689999912</v>
      </c>
      <c r="Z912" s="199">
        <f t="shared" si="970"/>
        <v>0</v>
      </c>
      <c r="AA912" s="237">
        <v>0</v>
      </c>
      <c r="AB912" s="177">
        <v>74.099999999999994</v>
      </c>
      <c r="AC912" s="216" t="s">
        <v>72</v>
      </c>
      <c r="AH912" s="216"/>
      <c r="AI912" s="237"/>
      <c r="AJ912" s="68"/>
    </row>
    <row r="913" spans="1:43">
      <c r="A913" s="10" t="s">
        <v>18</v>
      </c>
      <c r="J913" s="197">
        <f t="shared" ref="J913:O917" si="976">IFERROR(J896*R896,"")</f>
        <v>0</v>
      </c>
      <c r="K913" s="197">
        <f t="shared" si="976"/>
        <v>2533.4494271999993</v>
      </c>
      <c r="L913" s="197">
        <f t="shared" si="976"/>
        <v>213.32750831999999</v>
      </c>
      <c r="M913" s="197">
        <f t="shared" si="976"/>
        <v>2662.2785192399997</v>
      </c>
      <c r="N913" s="197">
        <f t="shared" si="976"/>
        <v>1161.9261788399999</v>
      </c>
      <c r="O913" s="197">
        <f t="shared" si="976"/>
        <v>10817.37821952</v>
      </c>
      <c r="P913" s="212">
        <f t="shared" si="973"/>
        <v>17388.359853119997</v>
      </c>
      <c r="Q913" s="198"/>
      <c r="R913" s="211">
        <f t="shared" ref="R913:W913" si="977">J913*J927/1000000</f>
        <v>0</v>
      </c>
      <c r="S913" s="211">
        <f t="shared" si="977"/>
        <v>0.14308143925280159</v>
      </c>
      <c r="T913" s="211">
        <f t="shared" si="977"/>
        <v>4.431397847571291E-2</v>
      </c>
      <c r="U913" s="211">
        <f t="shared" si="977"/>
        <v>0.20057272335058121</v>
      </c>
      <c r="V913" s="211">
        <f t="shared" si="977"/>
        <v>7.1436667246122035E-2</v>
      </c>
      <c r="W913" s="211">
        <f t="shared" si="977"/>
        <v>6.3918016022203455E-2</v>
      </c>
      <c r="X913" s="220">
        <f t="shared" si="975"/>
        <v>0.52332282434742117</v>
      </c>
      <c r="Z913" s="199">
        <f t="shared" si="970"/>
        <v>534035.87673151237</v>
      </c>
      <c r="AA913" s="238">
        <v>7041.5</v>
      </c>
      <c r="AB913" s="469">
        <v>75.841209505291829</v>
      </c>
      <c r="AC913" s="233" t="s">
        <v>73</v>
      </c>
      <c r="AH913" s="216"/>
      <c r="AI913" s="237"/>
      <c r="AJ913" s="68"/>
    </row>
    <row r="914" spans="1:43">
      <c r="A914" s="10" t="s">
        <v>19</v>
      </c>
      <c r="J914" s="197">
        <f t="shared" si="976"/>
        <v>0</v>
      </c>
      <c r="K914" s="197">
        <f t="shared" si="976"/>
        <v>8892.6426201599988</v>
      </c>
      <c r="L914" s="197">
        <f t="shared" si="976"/>
        <v>0</v>
      </c>
      <c r="M914" s="197">
        <f t="shared" si="976"/>
        <v>1488.0544527599998</v>
      </c>
      <c r="N914" s="197">
        <f t="shared" si="976"/>
        <v>0</v>
      </c>
      <c r="O914" s="197">
        <f t="shared" si="976"/>
        <v>478.02705264000002</v>
      </c>
      <c r="P914" s="212">
        <f t="shared" si="973"/>
        <v>10858.724125559998</v>
      </c>
      <c r="Q914" s="198"/>
      <c r="R914" s="211">
        <f t="shared" ref="R914:W914" si="978">J914*J927/1000000</f>
        <v>0</v>
      </c>
      <c r="S914" s="211">
        <f t="shared" si="978"/>
        <v>0.50222913123611834</v>
      </c>
      <c r="T914" s="211">
        <f t="shared" si="978"/>
        <v>0</v>
      </c>
      <c r="U914" s="211">
        <f t="shared" si="978"/>
        <v>0.11210815544920304</v>
      </c>
      <c r="V914" s="211">
        <f t="shared" si="978"/>
        <v>0</v>
      </c>
      <c r="W914" s="211">
        <f t="shared" si="978"/>
        <v>2.8245791345775846E-3</v>
      </c>
      <c r="X914" s="220">
        <f t="shared" si="975"/>
        <v>0.61716186581989896</v>
      </c>
      <c r="Z914" s="199">
        <f t="shared" si="970"/>
        <v>115.5</v>
      </c>
      <c r="AA914" s="237">
        <v>1.5</v>
      </c>
      <c r="AB914" s="177">
        <v>77</v>
      </c>
      <c r="AC914" s="216" t="s">
        <v>74</v>
      </c>
      <c r="AI914" s="237"/>
      <c r="AJ914" s="68"/>
    </row>
    <row r="915" spans="1:43">
      <c r="A915" s="10" t="s">
        <v>20</v>
      </c>
      <c r="J915" s="197">
        <f t="shared" si="976"/>
        <v>421595.08964496001</v>
      </c>
      <c r="K915" s="197">
        <f t="shared" si="976"/>
        <v>56197.644546239993</v>
      </c>
      <c r="L915" s="197">
        <f t="shared" si="976"/>
        <v>20721.615777720002</v>
      </c>
      <c r="M915" s="197">
        <f t="shared" si="976"/>
        <v>243285.15088799997</v>
      </c>
      <c r="N915" s="197">
        <f t="shared" si="976"/>
        <v>35568.237176999995</v>
      </c>
      <c r="O915" s="197">
        <f t="shared" si="976"/>
        <v>0</v>
      </c>
      <c r="P915" s="212">
        <f t="shared" si="973"/>
        <v>777367.73803391994</v>
      </c>
      <c r="Q915" s="198"/>
      <c r="R915" s="211">
        <f t="shared" ref="R915:W915" si="979">J915*J927/1000000</f>
        <v>39.753607752786522</v>
      </c>
      <c r="S915" s="211">
        <f t="shared" si="979"/>
        <v>3.1738702884549834</v>
      </c>
      <c r="T915" s="211">
        <f t="shared" si="979"/>
        <v>4.3044483235535367</v>
      </c>
      <c r="U915" s="211">
        <f t="shared" si="979"/>
        <v>18.328798024593283</v>
      </c>
      <c r="V915" s="211">
        <f t="shared" si="979"/>
        <v>2.1867794787799339</v>
      </c>
      <c r="W915" s="211">
        <f t="shared" si="979"/>
        <v>0</v>
      </c>
      <c r="X915" s="220">
        <f t="shared" si="975"/>
        <v>67.747503868168266</v>
      </c>
      <c r="Z915" s="199">
        <f t="shared" si="970"/>
        <v>219.89999999999998</v>
      </c>
      <c r="AA915" s="237">
        <v>3</v>
      </c>
      <c r="AB915" s="177">
        <v>73.3</v>
      </c>
      <c r="AC915" s="216" t="s">
        <v>75</v>
      </c>
      <c r="AH915" s="216"/>
      <c r="AI915" s="237"/>
      <c r="AJ915" s="68"/>
    </row>
    <row r="916" spans="1:43">
      <c r="A916" s="10" t="s">
        <v>21</v>
      </c>
      <c r="J916" s="197">
        <f t="shared" si="976"/>
        <v>0</v>
      </c>
      <c r="K916" s="197">
        <f t="shared" si="976"/>
        <v>385949.07344699994</v>
      </c>
      <c r="L916" s="197">
        <f t="shared" si="976"/>
        <v>0</v>
      </c>
      <c r="M916" s="197">
        <f t="shared" si="976"/>
        <v>46.958311440000003</v>
      </c>
      <c r="N916" s="197">
        <f t="shared" si="976"/>
        <v>323.07525935999996</v>
      </c>
      <c r="O916" s="197">
        <f t="shared" si="976"/>
        <v>0</v>
      </c>
      <c r="P916" s="212">
        <f t="shared" si="973"/>
        <v>386319.10701779998</v>
      </c>
      <c r="Q916" s="198"/>
      <c r="R916" s="211">
        <f t="shared" ref="R916:W916" si="980">J916*J927/1000000</f>
        <v>0</v>
      </c>
      <c r="S916" s="211">
        <f t="shared" si="980"/>
        <v>21.797217783073808</v>
      </c>
      <c r="T916" s="211">
        <f t="shared" si="980"/>
        <v>0</v>
      </c>
      <c r="U916" s="211">
        <f t="shared" si="980"/>
        <v>3.5377802665643972E-3</v>
      </c>
      <c r="V916" s="211">
        <f t="shared" si="980"/>
        <v>1.9863068944187184E-2</v>
      </c>
      <c r="W916" s="211">
        <f t="shared" si="980"/>
        <v>0</v>
      </c>
      <c r="X916" s="220">
        <f t="shared" si="975"/>
        <v>21.82061863228456</v>
      </c>
      <c r="Z916" s="199"/>
      <c r="AA916" s="209" t="s">
        <v>239</v>
      </c>
      <c r="AH916" s="216"/>
      <c r="AI916" s="237"/>
      <c r="AJ916" s="68" t="s">
        <v>289</v>
      </c>
    </row>
    <row r="917" spans="1:43">
      <c r="A917" s="10" t="s">
        <v>23</v>
      </c>
      <c r="J917" s="197">
        <f t="shared" si="976"/>
        <v>0</v>
      </c>
      <c r="K917" s="197">
        <f t="shared" si="976"/>
        <v>141086.38614191997</v>
      </c>
      <c r="L917" s="197">
        <f t="shared" si="976"/>
        <v>0</v>
      </c>
      <c r="M917" s="197">
        <f t="shared" si="976"/>
        <v>17502.763325759999</v>
      </c>
      <c r="N917" s="197">
        <f t="shared" si="976"/>
        <v>0</v>
      </c>
      <c r="O917" s="197">
        <f t="shared" si="976"/>
        <v>0</v>
      </c>
      <c r="P917" s="212">
        <f t="shared" si="973"/>
        <v>158589.14946767996</v>
      </c>
      <c r="Q917" s="198"/>
      <c r="R917" s="211">
        <f t="shared" ref="R917:W917" si="981">J917*J927/1000000</f>
        <v>0</v>
      </c>
      <c r="S917" s="211">
        <f t="shared" si="981"/>
        <v>7.9681255806527735</v>
      </c>
      <c r="T917" s="211">
        <f t="shared" si="981"/>
        <v>0</v>
      </c>
      <c r="U917" s="211">
        <f t="shared" si="981"/>
        <v>1.3186362287182947</v>
      </c>
      <c r="V917" s="211">
        <f t="shared" si="981"/>
        <v>0</v>
      </c>
      <c r="W917" s="211">
        <f t="shared" si="981"/>
        <v>0</v>
      </c>
      <c r="X917" s="220">
        <f t="shared" si="975"/>
        <v>9.2867618093710682</v>
      </c>
      <c r="Z917" s="199">
        <f t="shared" ref="Z917:Z930" si="982">AA917*AB917</f>
        <v>4578.6049308378642</v>
      </c>
      <c r="AA917" s="237">
        <v>59.8</v>
      </c>
      <c r="AB917" s="177">
        <v>76.565299846787028</v>
      </c>
      <c r="AC917" s="217" t="s">
        <v>242</v>
      </c>
      <c r="AH917" s="216"/>
      <c r="AI917" s="237"/>
    </row>
    <row r="918" spans="1:43">
      <c r="A918" s="11" t="s">
        <v>24</v>
      </c>
      <c r="J918" s="209">
        <f t="shared" ref="J918:O918" si="983">SUM(J919:J923)</f>
        <v>3798.9390347999993</v>
      </c>
      <c r="K918" s="209">
        <f t="shared" si="983"/>
        <v>463887.78473678394</v>
      </c>
      <c r="L918" s="209">
        <f t="shared" si="983"/>
        <v>32469.635566296001</v>
      </c>
      <c r="M918" s="209">
        <f t="shared" si="983"/>
        <v>64967.866474176</v>
      </c>
      <c r="N918" s="209">
        <f t="shared" si="983"/>
        <v>106377.75401947201</v>
      </c>
      <c r="O918" s="209">
        <f t="shared" si="983"/>
        <v>1848.5157427200002</v>
      </c>
      <c r="P918" s="212">
        <f t="shared" si="973"/>
        <v>673350.49557424791</v>
      </c>
      <c r="Q918" s="198"/>
      <c r="R918" s="209">
        <f t="shared" ref="R918:W918" si="984">SUM(R919:R923)</f>
        <v>0.35821463763576833</v>
      </c>
      <c r="S918" s="209">
        <f t="shared" si="984"/>
        <v>26.198956718583467</v>
      </c>
      <c r="T918" s="209">
        <f t="shared" si="984"/>
        <v>6.7448344703897076</v>
      </c>
      <c r="U918" s="209">
        <f t="shared" si="984"/>
        <v>4.8945975467368825</v>
      </c>
      <c r="V918" s="209">
        <f t="shared" si="984"/>
        <v>6.5402366817016864</v>
      </c>
      <c r="W918" s="209">
        <f t="shared" si="984"/>
        <v>1.0922559650106706E-2</v>
      </c>
      <c r="X918" s="220">
        <f t="shared" si="975"/>
        <v>44.747762614697614</v>
      </c>
      <c r="Z918" s="199">
        <f t="shared" si="982"/>
        <v>208.23</v>
      </c>
      <c r="AA918" s="237">
        <v>3.3</v>
      </c>
      <c r="AB918" s="177">
        <v>63.1</v>
      </c>
      <c r="AC918" s="217" t="s">
        <v>219</v>
      </c>
      <c r="AH918" s="216"/>
      <c r="AI918" s="237"/>
      <c r="AJ918" s="11" t="s">
        <v>24</v>
      </c>
      <c r="AK918" s="286">
        <f t="shared" ref="AK918:AK923" si="985">IFERROR(((J901/11.63)+J935)/J941,"")</f>
        <v>0.68977528324688153</v>
      </c>
      <c r="AL918" s="286">
        <f t="shared" ref="AL918:AL923" si="986">IFERROR(((K901/11.63)+K935)/K941,"")</f>
        <v>0.60875587232331341</v>
      </c>
      <c r="AM918" s="286">
        <f t="shared" ref="AM918:AM923" si="987">IFERROR(((L901/11.63)+L935)/L941,"")</f>
        <v>0.45581326574016062</v>
      </c>
      <c r="AN918" s="286">
        <f t="shared" ref="AN918:AN923" si="988">IFERROR(((M901/11.63)+M935)/M941,"")</f>
        <v>0.66612068078926134</v>
      </c>
      <c r="AO918" s="286">
        <f t="shared" ref="AO918:AO923" si="989">IFERROR(((N901/11.63)+N935)/N941,"")</f>
        <v>0.52723916767712931</v>
      </c>
      <c r="AP918" s="286">
        <f t="shared" ref="AP918:AP923" si="990">IFERROR(((O901/11.63)+O935)/O941,"")</f>
        <v>0.62891796509595299</v>
      </c>
      <c r="AQ918" s="286">
        <f t="shared" ref="AQ918:AQ923" si="991">IFERROR(((P901/11.63)+P935)/P941,"")</f>
        <v>0.60034616012298825</v>
      </c>
    </row>
    <row r="919" spans="1:43">
      <c r="A919" s="10" t="s">
        <v>25</v>
      </c>
      <c r="J919" s="197">
        <f t="shared" ref="J919:O923" si="992">IFERROR(J902*R902,"")</f>
        <v>0</v>
      </c>
      <c r="K919" s="197">
        <f t="shared" si="992"/>
        <v>11182.385955600001</v>
      </c>
      <c r="L919" s="197">
        <f t="shared" si="992"/>
        <v>1441.5705057600001</v>
      </c>
      <c r="M919" s="197">
        <f t="shared" si="992"/>
        <v>671.31988560000002</v>
      </c>
      <c r="N919" s="197">
        <f t="shared" si="992"/>
        <v>1179.12764664</v>
      </c>
      <c r="O919" s="197">
        <f t="shared" si="992"/>
        <v>958.04451000000006</v>
      </c>
      <c r="P919" s="212">
        <f t="shared" si="973"/>
        <v>15432.448503600001</v>
      </c>
      <c r="Q919" s="198"/>
      <c r="R919" s="211">
        <f t="shared" ref="R919:W919" si="993">J919*J927/1000000</f>
        <v>0</v>
      </c>
      <c r="S919" s="211">
        <f t="shared" si="993"/>
        <v>0.63154679924907542</v>
      </c>
      <c r="T919" s="211">
        <f t="shared" si="993"/>
        <v>0.29945375946381009</v>
      </c>
      <c r="U919" s="211">
        <f t="shared" si="993"/>
        <v>5.0576397894173265E-2</v>
      </c>
      <c r="V919" s="211">
        <f t="shared" si="993"/>
        <v>7.2494234890049511E-2</v>
      </c>
      <c r="W919" s="211">
        <f t="shared" si="993"/>
        <v>5.6609192262190595E-3</v>
      </c>
      <c r="X919" s="220">
        <f t="shared" si="975"/>
        <v>1.0597321107233275</v>
      </c>
      <c r="Z919" s="199">
        <f t="shared" si="982"/>
        <v>0</v>
      </c>
      <c r="AA919" s="237">
        <v>0</v>
      </c>
      <c r="AB919" s="177">
        <v>94.581887987999991</v>
      </c>
      <c r="AC919" s="217" t="s">
        <v>222</v>
      </c>
      <c r="AH919" s="216"/>
      <c r="AI919" s="237"/>
      <c r="AJ919" s="10" t="s">
        <v>25</v>
      </c>
      <c r="AK919" s="56" t="str">
        <f t="shared" si="985"/>
        <v/>
      </c>
      <c r="AL919" s="56">
        <f t="shared" si="986"/>
        <v>0.6818175523289749</v>
      </c>
      <c r="AM919" s="56">
        <f t="shared" si="987"/>
        <v>0.40608414623298839</v>
      </c>
      <c r="AN919" s="56">
        <f t="shared" si="988"/>
        <v>0.54975696211416636</v>
      </c>
      <c r="AO919" s="56">
        <f t="shared" si="989"/>
        <v>0.60322564795479661</v>
      </c>
      <c r="AP919" s="56">
        <f t="shared" si="990"/>
        <v>0.54329773272389914</v>
      </c>
      <c r="AQ919" s="286">
        <f t="shared" si="991"/>
        <v>0.64649351308646352</v>
      </c>
    </row>
    <row r="920" spans="1:43">
      <c r="A920" s="10" t="s">
        <v>26</v>
      </c>
      <c r="J920" s="197">
        <f t="shared" si="992"/>
        <v>0</v>
      </c>
      <c r="K920" s="197">
        <f t="shared" si="992"/>
        <v>36625.227410304004</v>
      </c>
      <c r="L920" s="197">
        <f t="shared" si="992"/>
        <v>0</v>
      </c>
      <c r="M920" s="197">
        <f t="shared" si="992"/>
        <v>3573.5543798399999</v>
      </c>
      <c r="N920" s="197">
        <f t="shared" si="992"/>
        <v>164.32771320000001</v>
      </c>
      <c r="O920" s="197">
        <f t="shared" si="992"/>
        <v>6.933340799999999</v>
      </c>
      <c r="P920" s="212">
        <f t="shared" si="973"/>
        <v>40370.042844144009</v>
      </c>
      <c r="Q920" s="198"/>
      <c r="R920" s="211">
        <f t="shared" ref="R920:W920" si="994">J920*J927/1000000</f>
        <v>0</v>
      </c>
      <c r="S920" s="211">
        <f t="shared" si="994"/>
        <v>2.0684803077435818</v>
      </c>
      <c r="T920" s="211">
        <f t="shared" si="994"/>
        <v>0</v>
      </c>
      <c r="U920" s="211">
        <f t="shared" si="994"/>
        <v>0.26922710333497296</v>
      </c>
      <c r="V920" s="211">
        <f t="shared" si="994"/>
        <v>1.0103072278571207E-2</v>
      </c>
      <c r="W920" s="211">
        <f t="shared" si="994"/>
        <v>4.0967911017671846E-5</v>
      </c>
      <c r="X920" s="220">
        <f t="shared" si="975"/>
        <v>2.3478514512681437</v>
      </c>
      <c r="Z920" s="199">
        <f t="shared" si="982"/>
        <v>6820.392568464209</v>
      </c>
      <c r="AA920" s="237">
        <v>133.1</v>
      </c>
      <c r="AB920" s="177">
        <v>51.242618846462882</v>
      </c>
      <c r="AC920" s="217" t="s">
        <v>223</v>
      </c>
      <c r="AH920" s="216"/>
      <c r="AI920" s="237"/>
      <c r="AJ920" s="10" t="s">
        <v>26</v>
      </c>
      <c r="AK920" s="56" t="str">
        <f t="shared" si="985"/>
        <v/>
      </c>
      <c r="AL920" s="56">
        <f t="shared" si="986"/>
        <v>0.69133567087437342</v>
      </c>
      <c r="AM920" s="56" t="str">
        <f t="shared" si="987"/>
        <v/>
      </c>
      <c r="AN920" s="56">
        <f t="shared" si="988"/>
        <v>0.73133691446676097</v>
      </c>
      <c r="AO920" s="56">
        <f t="shared" si="989"/>
        <v>0.79844763077781133</v>
      </c>
      <c r="AP920" s="56">
        <f t="shared" si="990"/>
        <v>0.45795356835769557</v>
      </c>
      <c r="AQ920" s="286">
        <f t="shared" si="991"/>
        <v>0.69591560813699549</v>
      </c>
    </row>
    <row r="921" spans="1:43">
      <c r="A921" s="10" t="s">
        <v>27</v>
      </c>
      <c r="J921" s="197">
        <f t="shared" si="992"/>
        <v>0</v>
      </c>
      <c r="K921" s="197">
        <f t="shared" si="992"/>
        <v>394675.62512500794</v>
      </c>
      <c r="L921" s="197">
        <f t="shared" si="992"/>
        <v>27316.783382615999</v>
      </c>
      <c r="M921" s="197">
        <f t="shared" si="992"/>
        <v>15264.026100000001</v>
      </c>
      <c r="N921" s="197">
        <f t="shared" si="992"/>
        <v>65074.540276656007</v>
      </c>
      <c r="O921" s="197">
        <f t="shared" si="992"/>
        <v>7.7045493599999997</v>
      </c>
      <c r="P921" s="212">
        <f t="shared" si="973"/>
        <v>502338.67943363992</v>
      </c>
      <c r="Q921" s="198"/>
      <c r="R921" s="211">
        <f t="shared" ref="R921:W921" si="995">J921*J927/1000000</f>
        <v>0</v>
      </c>
      <c r="S921" s="211">
        <f t="shared" si="995"/>
        <v>22.290066608235996</v>
      </c>
      <c r="T921" s="211">
        <f t="shared" si="995"/>
        <v>5.6744456463961264</v>
      </c>
      <c r="U921" s="211">
        <f t="shared" si="995"/>
        <v>1.1499725750126741</v>
      </c>
      <c r="V921" s="211">
        <f t="shared" si="995"/>
        <v>4.0008637076916909</v>
      </c>
      <c r="W921" s="211">
        <f t="shared" si="995"/>
        <v>4.5524848946086796E-5</v>
      </c>
      <c r="X921" s="220">
        <f t="shared" si="975"/>
        <v>33.11539406218543</v>
      </c>
      <c r="Z921" s="199">
        <f t="shared" si="982"/>
        <v>152625.55849166206</v>
      </c>
      <c r="AA921" s="237">
        <v>1552.7</v>
      </c>
      <c r="AB921" s="469">
        <v>98.296875437407124</v>
      </c>
      <c r="AC921" s="217" t="s">
        <v>236</v>
      </c>
      <c r="AH921" s="223"/>
      <c r="AI921" s="240"/>
      <c r="AJ921" s="10" t="s">
        <v>27</v>
      </c>
      <c r="AK921" s="56" t="str">
        <f t="shared" si="985"/>
        <v/>
      </c>
      <c r="AL921" s="56">
        <f t="shared" si="986"/>
        <v>0.56626880785193512</v>
      </c>
      <c r="AM921" s="56">
        <f t="shared" si="987"/>
        <v>0.47922801709300383</v>
      </c>
      <c r="AN921" s="56">
        <f t="shared" si="988"/>
        <v>0.63029520824021912</v>
      </c>
      <c r="AO921" s="56">
        <f t="shared" si="989"/>
        <v>0.58086281765197079</v>
      </c>
      <c r="AP921" s="56">
        <f t="shared" si="990"/>
        <v>0.78798673381648454</v>
      </c>
      <c r="AQ921" s="286">
        <f t="shared" si="991"/>
        <v>0.56619766633482826</v>
      </c>
    </row>
    <row r="922" spans="1:43">
      <c r="A922" s="10" t="s">
        <v>28</v>
      </c>
      <c r="J922" s="197">
        <f t="shared" si="992"/>
        <v>3798.9390347999993</v>
      </c>
      <c r="K922" s="197">
        <f t="shared" si="992"/>
        <v>11932.51900176</v>
      </c>
      <c r="L922" s="197">
        <f t="shared" si="992"/>
        <v>97.54909056000001</v>
      </c>
      <c r="M922" s="197">
        <f t="shared" si="992"/>
        <v>6691.3650289440011</v>
      </c>
      <c r="N922" s="197">
        <f t="shared" si="992"/>
        <v>11333.293132608002</v>
      </c>
      <c r="O922" s="197">
        <f t="shared" si="992"/>
        <v>186.85353456000001</v>
      </c>
      <c r="P922" s="212">
        <f t="shared" si="973"/>
        <v>34040.518823232007</v>
      </c>
      <c r="Q922" s="198"/>
      <c r="R922" s="211">
        <f t="shared" ref="R922:W922" si="996">J922*J927/1000000</f>
        <v>0.35821463763576833</v>
      </c>
      <c r="S922" s="211">
        <f t="shared" si="996"/>
        <v>0.67391200880223534</v>
      </c>
      <c r="T922" s="211">
        <f t="shared" si="996"/>
        <v>2.0263623446615479E-2</v>
      </c>
      <c r="U922" s="211">
        <f t="shared" si="996"/>
        <v>0.50411904580564681</v>
      </c>
      <c r="V922" s="211">
        <f t="shared" si="996"/>
        <v>0.69678496367570308</v>
      </c>
      <c r="W922" s="211">
        <f t="shared" si="996"/>
        <v>1.1040852019262566E-3</v>
      </c>
      <c r="X922" s="220">
        <f t="shared" si="975"/>
        <v>2.2543983645678951</v>
      </c>
      <c r="Z922" s="199">
        <f t="shared" si="982"/>
        <v>0</v>
      </c>
      <c r="AA922" s="237"/>
      <c r="AB922" s="177">
        <v>0</v>
      </c>
      <c r="AC922" s="216" t="s">
        <v>224</v>
      </c>
      <c r="AH922" s="239"/>
      <c r="AI922" s="237"/>
      <c r="AJ922" s="10" t="s">
        <v>28</v>
      </c>
      <c r="AK922" s="56">
        <f t="shared" si="985"/>
        <v>0.68977528324688153</v>
      </c>
      <c r="AL922" s="56">
        <f t="shared" si="986"/>
        <v>0.84449966262262788</v>
      </c>
      <c r="AM922" s="56">
        <f t="shared" si="987"/>
        <v>0.5531450492757457</v>
      </c>
      <c r="AN922" s="56">
        <f t="shared" si="988"/>
        <v>0.84670564540638449</v>
      </c>
      <c r="AO922" s="56">
        <f t="shared" si="989"/>
        <v>0.54451489448079715</v>
      </c>
      <c r="AP922" s="56">
        <f t="shared" si="990"/>
        <v>0.64072961248997651</v>
      </c>
      <c r="AQ922" s="286">
        <f t="shared" si="991"/>
        <v>0.78537044748060936</v>
      </c>
    </row>
    <row r="923" spans="1:43">
      <c r="A923" s="10" t="s">
        <v>29</v>
      </c>
      <c r="J923" s="197">
        <f t="shared" si="992"/>
        <v>0</v>
      </c>
      <c r="K923" s="197">
        <f t="shared" si="992"/>
        <v>9472.0272441119996</v>
      </c>
      <c r="L923" s="197">
        <f t="shared" si="992"/>
        <v>3613.7325873600007</v>
      </c>
      <c r="M923" s="197">
        <f t="shared" si="992"/>
        <v>38767.601079791995</v>
      </c>
      <c r="N923" s="197">
        <f t="shared" si="992"/>
        <v>28626.465250367994</v>
      </c>
      <c r="O923" s="197">
        <f t="shared" si="992"/>
        <v>688.97980799999993</v>
      </c>
      <c r="P923" s="212">
        <f t="shared" si="973"/>
        <v>81168.805969631998</v>
      </c>
      <c r="Q923" s="198"/>
      <c r="R923" s="211">
        <f t="shared" ref="R923:W923" si="997">J923*J927/1000000</f>
        <v>0</v>
      </c>
      <c r="S923" s="211">
        <f t="shared" si="997"/>
        <v>0.53495099455257566</v>
      </c>
      <c r="T923" s="211">
        <f t="shared" si="997"/>
        <v>0.75067144108315631</v>
      </c>
      <c r="U923" s="211">
        <f t="shared" si="997"/>
        <v>2.9207024246894155</v>
      </c>
      <c r="V923" s="211">
        <f t="shared" si="997"/>
        <v>1.7599907031656719</v>
      </c>
      <c r="W923" s="211">
        <f t="shared" si="997"/>
        <v>4.0710624619976323E-3</v>
      </c>
      <c r="X923" s="220">
        <f t="shared" si="975"/>
        <v>5.9703866259528171</v>
      </c>
      <c r="Z923" s="199">
        <f t="shared" si="982"/>
        <v>0</v>
      </c>
      <c r="AA923" s="237"/>
      <c r="AB923" s="177">
        <v>0</v>
      </c>
      <c r="AC923" s="216" t="s">
        <v>225</v>
      </c>
      <c r="AH923" s="239"/>
      <c r="AI923" s="237"/>
      <c r="AJ923" s="10" t="s">
        <v>29</v>
      </c>
      <c r="AK923" s="56" t="str">
        <f t="shared" si="985"/>
        <v/>
      </c>
      <c r="AL923" s="56">
        <f t="shared" si="986"/>
        <v>0.65686444438143266</v>
      </c>
      <c r="AM923" s="56">
        <f t="shared" si="987"/>
        <v>0.27857789769336305</v>
      </c>
      <c r="AN923" s="56">
        <f t="shared" si="988"/>
        <v>0.60017504291541468</v>
      </c>
      <c r="AO923" s="56">
        <f t="shared" si="989"/>
        <v>0.41834209535639633</v>
      </c>
      <c r="AP923" s="56">
        <f t="shared" si="990"/>
        <v>0.70316876704524467</v>
      </c>
      <c r="AQ923" s="286">
        <f t="shared" si="991"/>
        <v>0.54624555250595574</v>
      </c>
    </row>
    <row r="924" spans="1:43">
      <c r="A924" s="11" t="s">
        <v>10</v>
      </c>
      <c r="J924" s="212">
        <f t="shared" ref="J924:P924" si="998">J912+J918</f>
        <v>425394.02867976</v>
      </c>
      <c r="K924" s="212">
        <f t="shared" si="998"/>
        <v>1058546.9809193038</v>
      </c>
      <c r="L924" s="212">
        <f t="shared" si="998"/>
        <v>53404.578852336002</v>
      </c>
      <c r="M924" s="212">
        <f t="shared" si="998"/>
        <v>329953.07197137596</v>
      </c>
      <c r="N924" s="212">
        <f t="shared" si="998"/>
        <v>143430.992634672</v>
      </c>
      <c r="O924" s="212">
        <f t="shared" si="998"/>
        <v>13143.921014880001</v>
      </c>
      <c r="P924" s="212">
        <f t="shared" si="998"/>
        <v>2023873.5740723275</v>
      </c>
      <c r="R924" s="229">
        <f t="shared" ref="R924:X924" si="999">R912+R918</f>
        <v>40.11182239042229</v>
      </c>
      <c r="S924" s="229">
        <f t="shared" si="999"/>
        <v>59.783480941253949</v>
      </c>
      <c r="T924" s="229">
        <f t="shared" si="999"/>
        <v>11.093596772418957</v>
      </c>
      <c r="U924" s="229">
        <f t="shared" si="999"/>
        <v>24.85825045911481</v>
      </c>
      <c r="V924" s="229">
        <f t="shared" si="999"/>
        <v>8.8183158966719297</v>
      </c>
      <c r="W924" s="229">
        <f t="shared" si="999"/>
        <v>7.7665154806887737E-2</v>
      </c>
      <c r="X924" s="229">
        <f t="shared" si="999"/>
        <v>144.74313161468882</v>
      </c>
      <c r="Z924" s="199">
        <f t="shared" si="982"/>
        <v>0</v>
      </c>
      <c r="AA924" s="237"/>
      <c r="AB924" s="177">
        <v>0</v>
      </c>
      <c r="AC924" s="216" t="s">
        <v>148</v>
      </c>
      <c r="AH924" s="239"/>
      <c r="AI924" s="237"/>
      <c r="AJ924" s="308" t="s">
        <v>290</v>
      </c>
      <c r="AK924" s="307">
        <f t="shared" ref="AK924:AQ924" si="1000">IFERROR(((J907/11.63)+J935)/(J941+J912/41.868),"")</f>
        <v>0.37307534458463459</v>
      </c>
      <c r="AL924" s="307">
        <f t="shared" si="1000"/>
        <v>0.55178588101628789</v>
      </c>
      <c r="AM924" s="307">
        <f t="shared" si="1000"/>
        <v>0.41788087338724605</v>
      </c>
      <c r="AN924" s="307">
        <f t="shared" si="1000"/>
        <v>0.46825714502879456</v>
      </c>
      <c r="AO924" s="307">
        <f t="shared" si="1000"/>
        <v>0.44916595809311355</v>
      </c>
      <c r="AP924" s="307">
        <f t="shared" si="1000"/>
        <v>0.39813556360883873</v>
      </c>
      <c r="AQ924" s="307">
        <f t="shared" si="1000"/>
        <v>0.49148351156239489</v>
      </c>
    </row>
    <row r="925" spans="1:43">
      <c r="E925" t="s">
        <v>200</v>
      </c>
      <c r="J925" s="198">
        <f t="shared" ref="J925:P925" si="1001">J924/41.868</f>
        <v>10160.36182</v>
      </c>
      <c r="K925" s="198">
        <f t="shared" si="1001"/>
        <v>25282.960277999995</v>
      </c>
      <c r="L925" s="198">
        <f t="shared" si="1001"/>
        <v>1275.546452</v>
      </c>
      <c r="M925" s="198">
        <f t="shared" si="1001"/>
        <v>7880.7937319999983</v>
      </c>
      <c r="N925" s="198">
        <f t="shared" si="1001"/>
        <v>3425.7904039999999</v>
      </c>
      <c r="O925" s="198">
        <f t="shared" si="1001"/>
        <v>313.93716000000001</v>
      </c>
      <c r="P925" s="198">
        <f t="shared" si="1001"/>
        <v>48339.389845999984</v>
      </c>
      <c r="R925" s="227">
        <v>40.111822390422297</v>
      </c>
      <c r="S925" s="227">
        <v>59.783480941253956</v>
      </c>
      <c r="T925" s="227">
        <v>11.081617918938958</v>
      </c>
      <c r="U925" s="227">
        <v>24.858250459114821</v>
      </c>
      <c r="V925" s="227">
        <v>8.8183106075400275</v>
      </c>
      <c r="W925" s="227">
        <v>7.7665154806887737E-2</v>
      </c>
      <c r="X925" s="227">
        <v>144.74312632555694</v>
      </c>
      <c r="Z925" s="199">
        <f t="shared" si="982"/>
        <v>0</v>
      </c>
      <c r="AA925" s="237"/>
      <c r="AB925" s="177">
        <v>0</v>
      </c>
      <c r="AC925" s="216" t="s">
        <v>142</v>
      </c>
      <c r="AH925" s="216"/>
      <c r="AI925" s="237"/>
    </row>
    <row r="926" spans="1:43">
      <c r="J926" s="213" t="s">
        <v>217</v>
      </c>
      <c r="T926" s="228">
        <v>1.1978853480000001E-2</v>
      </c>
      <c r="U926" s="228"/>
      <c r="Z926" s="199">
        <f t="shared" si="982"/>
        <v>0</v>
      </c>
      <c r="AA926" s="237">
        <v>729</v>
      </c>
      <c r="AB926" s="177">
        <v>0</v>
      </c>
      <c r="AC926" s="216" t="s">
        <v>145</v>
      </c>
      <c r="AH926" s="216"/>
      <c r="AI926" s="237"/>
    </row>
    <row r="927" spans="1:43">
      <c r="J927" s="198">
        <f>SUM(Z895:Z898)/SUM(AA895:AA898)+J928</f>
        <v>94.293336732798366</v>
      </c>
      <c r="K927" s="215">
        <f>AB900+K928</f>
        <v>56.476927353129376</v>
      </c>
      <c r="L927" s="177">
        <f>SUM(Z902:Z905)/SUM(AA902:AA905)+L928</f>
        <v>207.72744605088684</v>
      </c>
      <c r="M927" s="198">
        <f>SUM(Z907:Z915)/SUM(AA907:AA915)+M928</f>
        <v>75.338745327006094</v>
      </c>
      <c r="N927" s="198">
        <f>SUM(Z917:Z933)/SUM(AA917:AA933)+N928</f>
        <v>61.4812442882045</v>
      </c>
      <c r="O927" s="198">
        <f>SUM(Z935:Z945)/SUM(AA935:AA945)+O928</f>
        <v>5.9088269565044103</v>
      </c>
      <c r="P927" s="363">
        <f>P918/41.868</f>
        <v>16082.700285999998</v>
      </c>
      <c r="Z927" s="199">
        <f t="shared" si="982"/>
        <v>0</v>
      </c>
      <c r="AA927" s="237"/>
      <c r="AB927" s="177">
        <v>0</v>
      </c>
      <c r="AC927" s="216" t="s">
        <v>143</v>
      </c>
      <c r="AH927" s="223"/>
      <c r="AI927" s="240"/>
    </row>
    <row r="928" spans="1:43">
      <c r="A928" s="504" t="s">
        <v>415</v>
      </c>
      <c r="B928" s="503"/>
      <c r="C928" s="503"/>
      <c r="D928" s="503"/>
      <c r="E928" s="503"/>
      <c r="F928" s="503"/>
      <c r="G928" s="503"/>
      <c r="H928" s="503"/>
      <c r="I928" s="503"/>
      <c r="J928" s="503">
        <v>-1.0375046835263135E-3</v>
      </c>
      <c r="K928" s="503">
        <v>0.60580271715517542</v>
      </c>
      <c r="L928" s="503">
        <v>-6.6460140865745032E-3</v>
      </c>
      <c r="M928" s="503">
        <v>1.8705174034323591E-3</v>
      </c>
      <c r="N928" s="503">
        <v>0.87119326448041445</v>
      </c>
      <c r="O928" s="503">
        <v>1.1825181081130953E-3</v>
      </c>
      <c r="P928" s="364">
        <f>P912/41.868</f>
        <v>32256.689559999992</v>
      </c>
      <c r="R928" s="505">
        <f>R924-R925</f>
        <v>0</v>
      </c>
      <c r="S928" s="505">
        <f>S924-S925</f>
        <v>0</v>
      </c>
      <c r="T928" s="505">
        <f>T924-SUM(T925:T926)</f>
        <v>0</v>
      </c>
      <c r="U928" s="505">
        <f>U924-U925</f>
        <v>0</v>
      </c>
      <c r="V928" s="505">
        <f>V924-V925</f>
        <v>5.2891319022307925E-6</v>
      </c>
      <c r="W928" s="505">
        <f>W924-W925</f>
        <v>0</v>
      </c>
      <c r="X928" s="90">
        <f>X924-X925</f>
        <v>5.2891318773617968E-6</v>
      </c>
      <c r="Z928" s="199">
        <f t="shared" si="982"/>
        <v>0</v>
      </c>
      <c r="AA928" s="237"/>
      <c r="AB928" s="177">
        <v>0</v>
      </c>
      <c r="AC928" s="216" t="s">
        <v>231</v>
      </c>
      <c r="AH928" s="216"/>
      <c r="AI928" s="237"/>
    </row>
    <row r="929" spans="1:43">
      <c r="J929" s="207"/>
      <c r="K929" s="207"/>
      <c r="L929" s="207"/>
      <c r="M929" s="207"/>
      <c r="N929" s="207"/>
      <c r="P929" s="365">
        <f>P941-P927</f>
        <v>5122.8997140000047</v>
      </c>
      <c r="R929" s="207"/>
      <c r="S929" s="207"/>
      <c r="T929" s="207"/>
      <c r="U929" s="207"/>
      <c r="V929" s="207"/>
      <c r="W929" s="207"/>
      <c r="X929" s="202"/>
      <c r="Z929" s="199">
        <f t="shared" si="982"/>
        <v>0</v>
      </c>
      <c r="AA929" s="237"/>
      <c r="AB929" s="177">
        <v>48.854533333333322</v>
      </c>
      <c r="AC929" s="219" t="s">
        <v>144</v>
      </c>
      <c r="AH929" s="216"/>
      <c r="AI929" s="237"/>
      <c r="AJ929" s="68" t="s">
        <v>381</v>
      </c>
      <c r="AK929" s="210" t="s">
        <v>5</v>
      </c>
      <c r="AL929" s="210" t="s">
        <v>210</v>
      </c>
      <c r="AM929" s="210" t="s">
        <v>211</v>
      </c>
      <c r="AN929" s="210" t="s">
        <v>214</v>
      </c>
      <c r="AO929" s="210" t="s">
        <v>216</v>
      </c>
      <c r="AP929" s="210" t="s">
        <v>215</v>
      </c>
      <c r="AQ929" s="210" t="s">
        <v>213</v>
      </c>
    </row>
    <row r="930" spans="1:43">
      <c r="O930" s="198"/>
      <c r="P930" s="202"/>
      <c r="R930" s="207"/>
      <c r="V930" s="90"/>
      <c r="Z930" s="199">
        <f t="shared" si="982"/>
        <v>0</v>
      </c>
      <c r="AA930" s="237"/>
      <c r="AB930" s="177">
        <v>0</v>
      </c>
      <c r="AC930" s="216" t="s">
        <v>146</v>
      </c>
      <c r="AH930" s="216"/>
      <c r="AI930" s="237"/>
      <c r="AJ930" s="11" t="s">
        <v>24</v>
      </c>
      <c r="AK930" s="229">
        <f t="shared" ref="AK930:AK935" si="1002">IFERROR(J935/(J941-J918/41.868),0)</f>
        <v>0.90041673133334776</v>
      </c>
      <c r="AL930" s="229">
        <f t="shared" ref="AL930:AL935" si="1003">IFERROR(K935/(K941-K918/41.868),0)</f>
        <v>0.90016109483585049</v>
      </c>
      <c r="AM930" s="229">
        <f t="shared" ref="AM930:AM935" si="1004">IFERROR(L935/(L941-L918/41.868),0)</f>
        <v>0.90055071233561357</v>
      </c>
      <c r="AN930" s="229">
        <f t="shared" ref="AN930:AN935" si="1005">IFERROR(M935/(M941-M918/41.868),0)</f>
        <v>0.9003117931319462</v>
      </c>
      <c r="AO930" s="229">
        <f t="shared" ref="AO930:AO935" si="1006">IFERROR(N935/(N941-N918/41.868),0)</f>
        <v>0.89896995933490931</v>
      </c>
      <c r="AP930" s="229">
        <f t="shared" ref="AP930:AP935" si="1007">IFERROR(O935/(O941-O918/41.868),0)</f>
        <v>0.90544298990260041</v>
      </c>
      <c r="AQ930" s="229">
        <f t="shared" ref="AQ930:AQ935" si="1008">IFERROR(P935/(P941-P918/41.868),0)</f>
        <v>0.90016206786124009</v>
      </c>
    </row>
    <row r="931" spans="1:43">
      <c r="N931" s="253"/>
      <c r="O931" s="198"/>
      <c r="P931" s="198"/>
      <c r="R931" s="207"/>
      <c r="V931" s="90"/>
      <c r="Z931" s="199">
        <f>AA931*AB931</f>
        <v>0</v>
      </c>
      <c r="AA931" s="237"/>
      <c r="AB931" s="177">
        <v>143</v>
      </c>
      <c r="AC931" s="216" t="s">
        <v>147</v>
      </c>
      <c r="AH931" s="216"/>
      <c r="AI931" s="237"/>
      <c r="AJ931" s="10" t="s">
        <v>25</v>
      </c>
      <c r="AK931" s="428">
        <f t="shared" si="1002"/>
        <v>0</v>
      </c>
      <c r="AL931" s="428">
        <f t="shared" si="1003"/>
        <v>0.90063198964885671</v>
      </c>
      <c r="AM931" s="428">
        <f t="shared" si="1004"/>
        <v>1.0849517196484826</v>
      </c>
      <c r="AN931" s="428">
        <f t="shared" si="1005"/>
        <v>0.89741432497616169</v>
      </c>
      <c r="AO931" s="428">
        <f t="shared" si="1006"/>
        <v>0.89220157320001947</v>
      </c>
      <c r="AP931" s="428">
        <f t="shared" si="1007"/>
        <v>0.90455603591619571</v>
      </c>
      <c r="AQ931" s="428">
        <f t="shared" si="1008"/>
        <v>0.90079543350924396</v>
      </c>
    </row>
    <row r="932" spans="1:43">
      <c r="A932" s="68" t="s">
        <v>413</v>
      </c>
      <c r="J932" s="229">
        <f>J935/(J941-J918/41.868)</f>
        <v>0.90041673133334776</v>
      </c>
      <c r="K932" s="229">
        <f t="shared" ref="K932:P932" si="1009">K935/(K941-K918/41.868)</f>
        <v>0.90016109483585049</v>
      </c>
      <c r="L932" s="229">
        <f t="shared" si="1009"/>
        <v>0.90055071233561357</v>
      </c>
      <c r="M932" s="229">
        <f t="shared" si="1009"/>
        <v>0.9003117931319462</v>
      </c>
      <c r="N932" s="229">
        <f t="shared" si="1009"/>
        <v>0.89896995933490931</v>
      </c>
      <c r="O932" s="229">
        <f t="shared" si="1009"/>
        <v>0.90544298990260041</v>
      </c>
      <c r="P932" s="229">
        <f t="shared" si="1009"/>
        <v>0.90016206786124009</v>
      </c>
      <c r="R932" s="207"/>
      <c r="Y932" s="202"/>
      <c r="Z932" s="199">
        <f>AA932*AB932</f>
        <v>43635.445000000007</v>
      </c>
      <c r="AA932" s="237">
        <v>951.7</v>
      </c>
      <c r="AB932" s="177">
        <v>45.85</v>
      </c>
      <c r="AC932" s="216" t="s">
        <v>232</v>
      </c>
      <c r="AH932" s="216"/>
      <c r="AI932" s="237"/>
      <c r="AJ932" s="10" t="s">
        <v>26</v>
      </c>
      <c r="AK932" s="428">
        <f t="shared" si="1002"/>
        <v>0</v>
      </c>
      <c r="AL932" s="428">
        <f t="shared" si="1003"/>
        <v>0.89976473964315495</v>
      </c>
      <c r="AM932" s="428">
        <f t="shared" si="1004"/>
        <v>0</v>
      </c>
      <c r="AN932" s="428">
        <f t="shared" si="1005"/>
        <v>0.90030744162041076</v>
      </c>
      <c r="AO932" s="428">
        <f t="shared" si="1006"/>
        <v>0.92083681045149779</v>
      </c>
      <c r="AP932" s="428">
        <f t="shared" si="1007"/>
        <v>1.1627906976744171</v>
      </c>
      <c r="AQ932" s="428">
        <f t="shared" si="1008"/>
        <v>0.89994466481829249</v>
      </c>
    </row>
    <row r="933" spans="1:43">
      <c r="A933" s="68" t="s">
        <v>276</v>
      </c>
      <c r="P933" s="198"/>
      <c r="Q933" s="223"/>
      <c r="R933" s="300" t="s">
        <v>248</v>
      </c>
      <c r="S933" s="195"/>
      <c r="T933" s="195"/>
      <c r="U933" s="195"/>
      <c r="V933" s="195"/>
      <c r="W933" s="195"/>
      <c r="X933" s="195"/>
      <c r="Z933" s="199">
        <f>AA933*AB933</f>
        <v>0</v>
      </c>
      <c r="AA933" s="237"/>
      <c r="AB933" s="177">
        <v>45.85</v>
      </c>
      <c r="AC933" s="216" t="s">
        <v>233</v>
      </c>
      <c r="AH933" s="216"/>
      <c r="AI933" s="237"/>
      <c r="AJ933" s="10" t="s">
        <v>27</v>
      </c>
      <c r="AK933" s="428">
        <f t="shared" si="1002"/>
        <v>0</v>
      </c>
      <c r="AL933" s="428">
        <f t="shared" si="1003"/>
        <v>0.90042223409926325</v>
      </c>
      <c r="AM933" s="428">
        <f t="shared" si="1004"/>
        <v>0.89998663011166113</v>
      </c>
      <c r="AN933" s="428">
        <f t="shared" si="1005"/>
        <v>0.90055475208841473</v>
      </c>
      <c r="AO933" s="428">
        <f t="shared" si="1006"/>
        <v>0.88428122227246098</v>
      </c>
      <c r="AP933" s="428">
        <f t="shared" si="1007"/>
        <v>0.96902980735687427</v>
      </c>
      <c r="AQ933" s="428">
        <f t="shared" si="1008"/>
        <v>0.90019495761181667</v>
      </c>
    </row>
    <row r="934" spans="1:43">
      <c r="A934" s="68" t="str">
        <f>$A$893</f>
        <v>Dati 2005 lorda</v>
      </c>
      <c r="J934" s="210" t="s">
        <v>5</v>
      </c>
      <c r="K934" s="210" t="s">
        <v>210</v>
      </c>
      <c r="L934" s="210" t="s">
        <v>211</v>
      </c>
      <c r="M934" s="210" t="s">
        <v>214</v>
      </c>
      <c r="N934" s="210" t="s">
        <v>216</v>
      </c>
      <c r="O934" s="210" t="s">
        <v>215</v>
      </c>
      <c r="P934" s="210" t="s">
        <v>213</v>
      </c>
      <c r="R934" s="221" t="s">
        <v>5</v>
      </c>
      <c r="S934" s="221" t="s">
        <v>210</v>
      </c>
      <c r="T934" s="221" t="s">
        <v>211</v>
      </c>
      <c r="U934" s="221" t="s">
        <v>214</v>
      </c>
      <c r="V934" s="221" t="s">
        <v>216</v>
      </c>
      <c r="W934" s="221" t="s">
        <v>215</v>
      </c>
      <c r="X934" s="221" t="s">
        <v>213</v>
      </c>
      <c r="AA934" s="209" t="s">
        <v>240</v>
      </c>
      <c r="AH934" s="216"/>
      <c r="AI934" s="237"/>
      <c r="AJ934" s="10" t="s">
        <v>28</v>
      </c>
      <c r="AK934" s="428">
        <f t="shared" si="1002"/>
        <v>0.90041673133334776</v>
      </c>
      <c r="AL934" s="428">
        <f t="shared" si="1003"/>
        <v>0.90004763758660988</v>
      </c>
      <c r="AM934" s="428">
        <f t="shared" si="1004"/>
        <v>0.7405213270142178</v>
      </c>
      <c r="AN934" s="428">
        <f t="shared" si="1005"/>
        <v>0.90018833524032182</v>
      </c>
      <c r="AO934" s="428">
        <f t="shared" si="1006"/>
        <v>0.90020647745311067</v>
      </c>
      <c r="AP934" s="428">
        <f t="shared" si="1007"/>
        <v>0.90149377518548235</v>
      </c>
      <c r="AQ934" s="428">
        <f t="shared" si="1008"/>
        <v>0.90009573108405572</v>
      </c>
    </row>
    <row r="935" spans="1:43">
      <c r="A935" s="223" t="s">
        <v>275</v>
      </c>
      <c r="J935" s="209">
        <f t="shared" ref="J935:O935" si="1010">SUM(J936:J940)</f>
        <v>70.2</v>
      </c>
      <c r="K935" s="209">
        <f t="shared" si="1010"/>
        <v>2885.8</v>
      </c>
      <c r="L935" s="209">
        <f t="shared" si="1010"/>
        <v>58.1</v>
      </c>
      <c r="M935" s="209">
        <f t="shared" si="1010"/>
        <v>1266.9000000000001</v>
      </c>
      <c r="N935" s="209">
        <f t="shared" si="1010"/>
        <v>304.5</v>
      </c>
      <c r="O935" s="209">
        <f t="shared" si="1010"/>
        <v>25.939999999999998</v>
      </c>
      <c r="P935" s="298">
        <f t="shared" ref="P935:P946" si="1011">SUM(J935:O935)</f>
        <v>4611.4399999999996</v>
      </c>
      <c r="Q935" s="223" t="s">
        <v>17</v>
      </c>
      <c r="R935" s="222">
        <f t="shared" ref="R935:R946" si="1012">IFERROR(R912/J895*1000000,0)</f>
        <v>923.0128061404738</v>
      </c>
      <c r="S935" s="222">
        <f t="shared" ref="S935:S946" si="1013">IFERROR(S912/K895*1000000,0)</f>
        <v>411.16892166157544</v>
      </c>
      <c r="T935" s="222">
        <f t="shared" ref="T935:T946" si="1014">IFERROR(T912/L895*1000000,0)</f>
        <v>2111.562176270575</v>
      </c>
      <c r="U935" s="222">
        <f t="shared" ref="U935:U946" si="1015">IFERROR(U912/M895*1000000,0)</f>
        <v>721.80131362522832</v>
      </c>
      <c r="V935" s="222">
        <f t="shared" ref="V935:V946" si="1016">IFERROR(V912/N895*1000000,0)</f>
        <v>1134.2191759871762</v>
      </c>
      <c r="W935" s="222">
        <f t="shared" ref="W935:W946" si="1017">IFERROR(W912/O895*1000000,0)</f>
        <v>63.33516336760394</v>
      </c>
      <c r="X935" s="222">
        <f t="shared" ref="X935:X946" si="1018">IFERROR(X912/P895*1000000,0)</f>
        <v>634.77072606528156</v>
      </c>
      <c r="Z935" s="199">
        <f>AA935*AB935</f>
        <v>1855.0003536564373</v>
      </c>
      <c r="AA935" s="237">
        <v>18.899999999999999</v>
      </c>
      <c r="AB935">
        <v>98.148166860128967</v>
      </c>
      <c r="AC935" s="217" t="s">
        <v>221</v>
      </c>
      <c r="AH935" s="216"/>
      <c r="AI935" s="237"/>
      <c r="AJ935" s="10" t="s">
        <v>29</v>
      </c>
      <c r="AK935" s="428">
        <f t="shared" si="1002"/>
        <v>0</v>
      </c>
      <c r="AL935" s="428">
        <f t="shared" si="1003"/>
        <v>0.89986267479037296</v>
      </c>
      <c r="AM935" s="428">
        <f t="shared" si="1004"/>
        <v>0</v>
      </c>
      <c r="AN935" s="428">
        <f t="shared" si="1005"/>
        <v>0.90033208557155753</v>
      </c>
      <c r="AO935" s="428">
        <f t="shared" si="1006"/>
        <v>0.90004186846374379</v>
      </c>
      <c r="AP935" s="428">
        <f t="shared" si="1007"/>
        <v>0.90436075322101062</v>
      </c>
      <c r="AQ935" s="428">
        <f t="shared" si="1008"/>
        <v>0.90025758145450174</v>
      </c>
    </row>
    <row r="936" spans="1:43">
      <c r="A936" s="216" t="s">
        <v>25</v>
      </c>
      <c r="K936">
        <v>139.69999999999999</v>
      </c>
      <c r="L936">
        <v>0.4</v>
      </c>
      <c r="M936">
        <v>3.2</v>
      </c>
      <c r="N936">
        <v>6.1</v>
      </c>
      <c r="O936">
        <v>6.8</v>
      </c>
      <c r="P936" s="298">
        <f t="shared" si="1011"/>
        <v>156.19999999999999</v>
      </c>
      <c r="Q936" s="216" t="s">
        <v>18</v>
      </c>
      <c r="R936" s="230">
        <f t="shared" si="1012"/>
        <v>0</v>
      </c>
      <c r="S936" s="230">
        <f t="shared" si="1013"/>
        <v>558.03993468331362</v>
      </c>
      <c r="T936" s="230">
        <f t="shared" si="1014"/>
        <v>1877.7109523607164</v>
      </c>
      <c r="U936" s="230">
        <f t="shared" si="1015"/>
        <v>740.94098023857111</v>
      </c>
      <c r="V936" s="230">
        <f t="shared" si="1016"/>
        <v>2082.7016689831498</v>
      </c>
      <c r="W936" s="230">
        <f t="shared" si="1017"/>
        <v>62.812515745089875</v>
      </c>
      <c r="X936" s="222">
        <f t="shared" si="1018"/>
        <v>326.54612775952904</v>
      </c>
      <c r="Z936" s="199">
        <f>AA936*AB936</f>
        <v>0</v>
      </c>
      <c r="AA936" s="237"/>
      <c r="AB936">
        <v>0</v>
      </c>
      <c r="AC936" s="216" t="s">
        <v>226</v>
      </c>
      <c r="AH936" s="216"/>
      <c r="AI936" s="237"/>
    </row>
    <row r="937" spans="1:43">
      <c r="A937" s="216" t="s">
        <v>26</v>
      </c>
      <c r="K937">
        <v>571.1</v>
      </c>
      <c r="M937">
        <v>80.8</v>
      </c>
      <c r="N937">
        <v>3.2</v>
      </c>
      <c r="O937" s="177">
        <v>0.04</v>
      </c>
      <c r="P937" s="298">
        <f t="shared" si="1011"/>
        <v>655.14</v>
      </c>
      <c r="Q937" s="216" t="s">
        <v>19</v>
      </c>
      <c r="R937" s="230">
        <f t="shared" si="1012"/>
        <v>0</v>
      </c>
      <c r="S937" s="230">
        <f t="shared" si="1013"/>
        <v>692.34785116641626</v>
      </c>
      <c r="T937" s="230">
        <f t="shared" si="1014"/>
        <v>0</v>
      </c>
      <c r="U937" s="230">
        <f t="shared" si="1015"/>
        <v>1191.3725339979069</v>
      </c>
      <c r="V937" s="230">
        <f t="shared" si="1016"/>
        <v>0</v>
      </c>
      <c r="W937" s="230">
        <f t="shared" si="1017"/>
        <v>78.027047916507854</v>
      </c>
      <c r="X937" s="222">
        <f t="shared" si="1018"/>
        <v>721.23625782388558</v>
      </c>
      <c r="Z937" s="199">
        <f t="shared" ref="Z937:Z945" si="1019">AA937*AB937</f>
        <v>0</v>
      </c>
      <c r="AA937" s="237">
        <v>20.8</v>
      </c>
      <c r="AB937">
        <v>0</v>
      </c>
      <c r="AC937" s="216" t="s">
        <v>227</v>
      </c>
      <c r="AH937" s="216"/>
      <c r="AI937" s="237"/>
    </row>
    <row r="938" spans="1:43">
      <c r="A938" s="216" t="s">
        <v>27</v>
      </c>
      <c r="K938">
        <v>1178.9000000000001</v>
      </c>
      <c r="L938">
        <v>57.5</v>
      </c>
      <c r="M938">
        <v>208.6</v>
      </c>
      <c r="N938">
        <v>22.4</v>
      </c>
      <c r="O938">
        <v>0.5</v>
      </c>
      <c r="P938" s="298">
        <f t="shared" si="1011"/>
        <v>1467.9</v>
      </c>
      <c r="Q938" s="216" t="s">
        <v>20</v>
      </c>
      <c r="R938" s="230">
        <f t="shared" si="1012"/>
        <v>923.0128061404738</v>
      </c>
      <c r="S938" s="230">
        <f t="shared" si="1013"/>
        <v>535.34000513687386</v>
      </c>
      <c r="T938" s="230">
        <f t="shared" si="1014"/>
        <v>2114.2729621069484</v>
      </c>
      <c r="U938" s="230">
        <f t="shared" si="1015"/>
        <v>725.48499555075102</v>
      </c>
      <c r="V938" s="230">
        <f t="shared" si="1016"/>
        <v>1119.9894897720533</v>
      </c>
      <c r="W938" s="230">
        <f t="shared" si="1017"/>
        <v>0</v>
      </c>
      <c r="X938" s="222">
        <f t="shared" si="1018"/>
        <v>865.77505208475156</v>
      </c>
      <c r="Z938" s="199">
        <f t="shared" si="1019"/>
        <v>0</v>
      </c>
      <c r="AA938" s="237">
        <v>6.4</v>
      </c>
      <c r="AB938">
        <v>0</v>
      </c>
      <c r="AC938" s="216" t="s">
        <v>150</v>
      </c>
      <c r="AH938" s="216"/>
      <c r="AI938" s="237"/>
    </row>
    <row r="939" spans="1:43">
      <c r="A939" s="216" t="s">
        <v>28</v>
      </c>
      <c r="J939">
        <v>70.2</v>
      </c>
      <c r="K939">
        <v>812.2</v>
      </c>
      <c r="L939">
        <v>0.2</v>
      </c>
      <c r="M939">
        <v>422.8</v>
      </c>
      <c r="N939">
        <v>95.7</v>
      </c>
      <c r="O939">
        <v>4</v>
      </c>
      <c r="P939" s="298">
        <f t="shared" si="1011"/>
        <v>1405.1000000000001</v>
      </c>
      <c r="Q939" s="216" t="s">
        <v>21</v>
      </c>
      <c r="R939" s="230">
        <f t="shared" si="1012"/>
        <v>0</v>
      </c>
      <c r="S939" s="230">
        <f t="shared" si="1013"/>
        <v>371.47488872351084</v>
      </c>
      <c r="T939" s="230">
        <f t="shared" si="1014"/>
        <v>0</v>
      </c>
      <c r="U939" s="230">
        <f t="shared" si="1015"/>
        <v>1310.2889876164431</v>
      </c>
      <c r="V939" s="230">
        <f t="shared" si="1016"/>
        <v>915.34879927129884</v>
      </c>
      <c r="W939" s="230">
        <f t="shared" si="1017"/>
        <v>0</v>
      </c>
      <c r="X939" s="222">
        <f t="shared" si="1018"/>
        <v>371.71912037403496</v>
      </c>
      <c r="Z939" s="199">
        <f t="shared" si="1019"/>
        <v>0</v>
      </c>
      <c r="AA939" s="237">
        <v>0.7</v>
      </c>
      <c r="AB939">
        <v>0</v>
      </c>
      <c r="AC939" s="216" t="s">
        <v>151</v>
      </c>
      <c r="AH939" s="216"/>
      <c r="AI939" s="237"/>
    </row>
    <row r="940" spans="1:43">
      <c r="A940" s="216" t="s">
        <v>29</v>
      </c>
      <c r="K940">
        <v>183.9</v>
      </c>
      <c r="M940">
        <v>551.5</v>
      </c>
      <c r="N940">
        <v>177.1</v>
      </c>
      <c r="O940">
        <v>14.6</v>
      </c>
      <c r="P940" s="298">
        <f t="shared" si="1011"/>
        <v>927.1</v>
      </c>
      <c r="Q940" s="216" t="s">
        <v>23</v>
      </c>
      <c r="R940" s="230">
        <f t="shared" si="1012"/>
        <v>0</v>
      </c>
      <c r="S940" s="230">
        <f t="shared" si="1013"/>
        <v>495.14221323171978</v>
      </c>
      <c r="T940" s="230">
        <f t="shared" si="1014"/>
        <v>0</v>
      </c>
      <c r="U940" s="230">
        <f t="shared" si="1015"/>
        <v>650.72849818313</v>
      </c>
      <c r="V940" s="230">
        <f t="shared" si="1016"/>
        <v>0</v>
      </c>
      <c r="W940" s="230">
        <f t="shared" si="1017"/>
        <v>0</v>
      </c>
      <c r="X940" s="222">
        <f t="shared" si="1018"/>
        <v>512.54273466367169</v>
      </c>
      <c r="Z940" s="199">
        <f t="shared" si="1019"/>
        <v>0</v>
      </c>
      <c r="AA940" s="237"/>
      <c r="AB940">
        <v>0</v>
      </c>
      <c r="AC940" s="218" t="s">
        <v>153</v>
      </c>
      <c r="AH940" s="216"/>
      <c r="AI940" s="237"/>
    </row>
    <row r="941" spans="1:43">
      <c r="A941" s="223" t="s">
        <v>277</v>
      </c>
      <c r="J941" s="209">
        <f t="shared" ref="J941:O941" si="1020">SUM(J942:J946)</f>
        <v>168.7</v>
      </c>
      <c r="K941" s="209">
        <f t="shared" si="1020"/>
        <v>14285.640000000001</v>
      </c>
      <c r="L941" s="209">
        <f t="shared" si="1020"/>
        <v>840.04</v>
      </c>
      <c r="M941" s="209">
        <f t="shared" si="1020"/>
        <v>2958.91</v>
      </c>
      <c r="N941" s="209">
        <f t="shared" si="1020"/>
        <v>2879.51</v>
      </c>
      <c r="O941" s="209">
        <f t="shared" si="1020"/>
        <v>72.8</v>
      </c>
      <c r="P941" s="298">
        <f t="shared" si="1011"/>
        <v>21205.600000000002</v>
      </c>
      <c r="Q941" s="223" t="s">
        <v>24</v>
      </c>
      <c r="R941" s="222">
        <f t="shared" si="1012"/>
        <v>667.19060837356744</v>
      </c>
      <c r="S941" s="222">
        <f t="shared" si="1013"/>
        <v>387.68435670665099</v>
      </c>
      <c r="T941" s="222">
        <f t="shared" si="1014"/>
        <v>1785.5570096122528</v>
      </c>
      <c r="U941" s="222">
        <f t="shared" si="1015"/>
        <v>597.73459461065067</v>
      </c>
      <c r="V941" s="222">
        <f t="shared" si="1016"/>
        <v>463.34642192623892</v>
      </c>
      <c r="W941" s="222">
        <f t="shared" si="1017"/>
        <v>47.324781846216233</v>
      </c>
      <c r="X941" s="222">
        <f t="shared" si="1018"/>
        <v>473.88736923440973</v>
      </c>
      <c r="Z941" s="199">
        <f t="shared" si="1019"/>
        <v>0</v>
      </c>
      <c r="AA941" s="237"/>
      <c r="AB941">
        <v>0</v>
      </c>
      <c r="AC941" s="216" t="s">
        <v>228</v>
      </c>
      <c r="AH941" s="216"/>
      <c r="AI941" s="237"/>
    </row>
    <row r="942" spans="1:43">
      <c r="A942" s="216" t="s">
        <v>25</v>
      </c>
      <c r="K942">
        <v>422.2</v>
      </c>
      <c r="L942">
        <v>34.799999999999997</v>
      </c>
      <c r="M942">
        <v>19.600000000000001</v>
      </c>
      <c r="N942">
        <v>35</v>
      </c>
      <c r="O942">
        <v>30.4</v>
      </c>
      <c r="P942" s="298">
        <f t="shared" si="1011"/>
        <v>542</v>
      </c>
      <c r="Q942" s="216" t="s">
        <v>25</v>
      </c>
      <c r="R942" s="230">
        <f t="shared" si="1012"/>
        <v>0</v>
      </c>
      <c r="S942" s="230">
        <f t="shared" si="1013"/>
        <v>366.50927913522719</v>
      </c>
      <c r="T942" s="230">
        <f t="shared" si="1014"/>
        <v>1875.1018125473395</v>
      </c>
      <c r="U942" s="230">
        <f t="shared" si="1015"/>
        <v>574.07943126189866</v>
      </c>
      <c r="V942" s="230">
        <f t="shared" si="1016"/>
        <v>415.20180349398345</v>
      </c>
      <c r="W942" s="230">
        <f t="shared" si="1017"/>
        <v>50.09663032052265</v>
      </c>
      <c r="X942" s="222">
        <f t="shared" si="1018"/>
        <v>469.21113229047415</v>
      </c>
      <c r="Z942" s="199">
        <f t="shared" si="1019"/>
        <v>0</v>
      </c>
      <c r="AA942" s="237"/>
      <c r="AB942">
        <v>0</v>
      </c>
      <c r="AC942" s="216" t="s">
        <v>152</v>
      </c>
      <c r="AH942" s="216"/>
      <c r="AI942" s="237"/>
    </row>
    <row r="943" spans="1:43">
      <c r="A943" s="216" t="s">
        <v>26</v>
      </c>
      <c r="K943">
        <v>1509.5</v>
      </c>
      <c r="M943">
        <v>175.1</v>
      </c>
      <c r="N943">
        <v>7.4</v>
      </c>
      <c r="O943">
        <v>0.2</v>
      </c>
      <c r="P943" s="298">
        <f t="shared" si="1011"/>
        <v>1692.2</v>
      </c>
      <c r="Q943" s="216" t="s">
        <v>26</v>
      </c>
      <c r="R943" s="230">
        <f t="shared" si="1012"/>
        <v>0</v>
      </c>
      <c r="S943" s="230">
        <f t="shared" si="1013"/>
        <v>376.44049831179467</v>
      </c>
      <c r="T943" s="230">
        <f t="shared" si="1014"/>
        <v>0</v>
      </c>
      <c r="U943" s="230">
        <f t="shared" si="1015"/>
        <v>489.86008612622447</v>
      </c>
      <c r="V943" s="230">
        <f t="shared" si="1016"/>
        <v>320.73245328797481</v>
      </c>
      <c r="W943" s="230">
        <f t="shared" si="1017"/>
        <v>68.279851696119749</v>
      </c>
      <c r="X943" s="222">
        <f t="shared" si="1018"/>
        <v>386.37965869855924</v>
      </c>
      <c r="Z943" s="199">
        <f t="shared" si="1019"/>
        <v>0</v>
      </c>
      <c r="AA943" s="237">
        <v>267.2</v>
      </c>
      <c r="AB943">
        <v>0</v>
      </c>
      <c r="AC943" s="216" t="s">
        <v>229</v>
      </c>
      <c r="AH943" s="216"/>
      <c r="AI943" s="237"/>
    </row>
    <row r="944" spans="1:43">
      <c r="A944" s="216" t="s">
        <v>27</v>
      </c>
      <c r="K944">
        <v>10735.94</v>
      </c>
      <c r="L944">
        <v>716.34</v>
      </c>
      <c r="M944">
        <v>596.21</v>
      </c>
      <c r="N944">
        <v>1579.61</v>
      </c>
      <c r="O944">
        <v>0.7</v>
      </c>
      <c r="P944" s="298">
        <f t="shared" si="1011"/>
        <v>13628.800000000003</v>
      </c>
      <c r="Q944" s="216" t="s">
        <v>27</v>
      </c>
      <c r="R944" s="230">
        <f t="shared" si="1012"/>
        <v>0</v>
      </c>
      <c r="S944" s="230">
        <f t="shared" si="1013"/>
        <v>391.10086947720367</v>
      </c>
      <c r="T944" s="230">
        <f t="shared" si="1014"/>
        <v>1707.2471512200493</v>
      </c>
      <c r="U944" s="230">
        <f t="shared" si="1015"/>
        <v>591.42798550332964</v>
      </c>
      <c r="V944" s="230">
        <f t="shared" si="1016"/>
        <v>384.31264266368095</v>
      </c>
      <c r="W944" s="230">
        <f t="shared" si="1017"/>
        <v>75.874748243477995</v>
      </c>
      <c r="X944" s="222">
        <f t="shared" si="1018"/>
        <v>455.68098090422086</v>
      </c>
      <c r="Z944" s="199">
        <f t="shared" si="1019"/>
        <v>0</v>
      </c>
      <c r="AA944" s="237"/>
      <c r="AB944">
        <v>0</v>
      </c>
      <c r="AC944" s="216" t="s">
        <v>230</v>
      </c>
      <c r="AH944" s="216"/>
      <c r="AI944" s="237"/>
    </row>
    <row r="945" spans="1:35">
      <c r="A945" s="216" t="s">
        <v>28</v>
      </c>
      <c r="J945">
        <v>168.7</v>
      </c>
      <c r="K945">
        <v>1187.4000000000001</v>
      </c>
      <c r="L945">
        <v>2.6</v>
      </c>
      <c r="M945">
        <v>629.5</v>
      </c>
      <c r="N945">
        <v>377</v>
      </c>
      <c r="O945">
        <v>8.9</v>
      </c>
      <c r="P945" s="298">
        <f t="shared" si="1011"/>
        <v>2374.1</v>
      </c>
      <c r="Q945" s="216" t="s">
        <v>28</v>
      </c>
      <c r="R945" s="230">
        <f t="shared" si="1012"/>
        <v>667.19060837356744</v>
      </c>
      <c r="S945" s="230">
        <f t="shared" si="1013"/>
        <v>304.0844728825175</v>
      </c>
      <c r="T945" s="230">
        <f t="shared" si="1014"/>
        <v>1407.1960726816303</v>
      </c>
      <c r="U945" s="230">
        <f t="shared" si="1015"/>
        <v>393.33903889208108</v>
      </c>
      <c r="V945" s="230">
        <f t="shared" si="1016"/>
        <v>546.73814669635533</v>
      </c>
      <c r="W945" s="230">
        <f t="shared" si="1017"/>
        <v>55.761878885164471</v>
      </c>
      <c r="X945" s="222">
        <f t="shared" si="1018"/>
        <v>421.90492994469702</v>
      </c>
      <c r="Z945" s="199">
        <f t="shared" si="1019"/>
        <v>0</v>
      </c>
      <c r="AA945">
        <v>0</v>
      </c>
      <c r="AB945">
        <v>0</v>
      </c>
      <c r="AC945" s="216" t="s">
        <v>243</v>
      </c>
      <c r="AH945" s="219"/>
      <c r="AI945" s="237"/>
    </row>
    <row r="946" spans="1:35">
      <c r="A946" s="216" t="s">
        <v>29</v>
      </c>
      <c r="K946">
        <v>430.6</v>
      </c>
      <c r="L946">
        <v>86.3</v>
      </c>
      <c r="M946">
        <v>1538.5</v>
      </c>
      <c r="N946">
        <v>880.5</v>
      </c>
      <c r="O946">
        <v>32.6</v>
      </c>
      <c r="P946" s="298">
        <f t="shared" si="1011"/>
        <v>2968.5</v>
      </c>
      <c r="Q946" s="216" t="s">
        <v>29</v>
      </c>
      <c r="R946" s="230">
        <f t="shared" si="1012"/>
        <v>0</v>
      </c>
      <c r="S946" s="230">
        <f t="shared" si="1013"/>
        <v>464.87564050313335</v>
      </c>
      <c r="T946" s="230">
        <f t="shared" si="1014"/>
        <v>2684.8048679655089</v>
      </c>
      <c r="U946" s="230">
        <f t="shared" si="1015"/>
        <v>675.33190238006853</v>
      </c>
      <c r="V946" s="230">
        <f t="shared" si="1016"/>
        <v>791.27733660291699</v>
      </c>
      <c r="W946" s="230">
        <f t="shared" si="1017"/>
        <v>42.056430392537528</v>
      </c>
      <c r="X946" s="222">
        <f t="shared" si="1018"/>
        <v>739.25507551215992</v>
      </c>
      <c r="AH946" s="216"/>
      <c r="AI946" s="237"/>
    </row>
    <row r="947" spans="1:35">
      <c r="Q947" s="223" t="s">
        <v>10</v>
      </c>
      <c r="R947" s="316">
        <f t="shared" ref="R947:X947" si="1021">R924/J907*1000000</f>
        <v>919.8630104003845</v>
      </c>
      <c r="S947" s="316">
        <f t="shared" si="1021"/>
        <v>400.53609580344573</v>
      </c>
      <c r="T947" s="222">
        <f t="shared" si="1021"/>
        <v>1900.5843425525975</v>
      </c>
      <c r="U947" s="222">
        <f t="shared" si="1021"/>
        <v>693.46032768208408</v>
      </c>
      <c r="V947" s="222">
        <f t="shared" si="1021"/>
        <v>546.91571775445925</v>
      </c>
      <c r="W947" s="222">
        <f t="shared" si="1021"/>
        <v>60.458628994930521</v>
      </c>
      <c r="X947" s="225">
        <f t="shared" si="1021"/>
        <v>574.47575999978096</v>
      </c>
      <c r="AH947" s="216"/>
      <c r="AI947" s="237"/>
    </row>
    <row r="948" spans="1:35">
      <c r="J948" s="90">
        <f t="shared" ref="J948:O953" si="1022">IFERROR((J901/11.63+J935)/J941,"")</f>
        <v>0.68977528324688153</v>
      </c>
      <c r="K948" s="90">
        <f t="shared" si="1022"/>
        <v>0.60875587232331341</v>
      </c>
      <c r="L948" s="90">
        <f t="shared" si="1022"/>
        <v>0.45581326574016062</v>
      </c>
      <c r="M948" s="90">
        <f t="shared" si="1022"/>
        <v>0.66612068078926134</v>
      </c>
      <c r="N948" s="90">
        <f t="shared" si="1022"/>
        <v>0.52723916767712931</v>
      </c>
      <c r="O948" s="90">
        <f t="shared" si="1022"/>
        <v>0.62891796509595299</v>
      </c>
      <c r="P948" s="234">
        <f>P941-('5-x'!$K$82+'5-x'!$K$84)</f>
        <v>0</v>
      </c>
      <c r="R948" s="203">
        <f>'12'!Q6</f>
        <v>919.86301040038461</v>
      </c>
      <c r="S948" s="203">
        <f>'12'!Q7</f>
        <v>400.53625681370426</v>
      </c>
      <c r="T948" s="234"/>
      <c r="U948" s="234"/>
      <c r="V948" s="234"/>
      <c r="W948" s="234"/>
      <c r="X948" s="225">
        <f>'12'!Q11</f>
        <v>571.94196588083423</v>
      </c>
      <c r="AH948" s="216"/>
      <c r="AI948" s="237"/>
    </row>
    <row r="949" spans="1:35">
      <c r="J949" s="90" t="str">
        <f t="shared" si="1022"/>
        <v/>
      </c>
      <c r="K949" s="90">
        <f t="shared" si="1022"/>
        <v>0.6818175523289749</v>
      </c>
      <c r="L949" s="90">
        <f t="shared" si="1022"/>
        <v>0.40608414623298839</v>
      </c>
      <c r="M949" s="90">
        <f t="shared" si="1022"/>
        <v>0.54975696211416636</v>
      </c>
      <c r="N949" s="90">
        <f t="shared" si="1022"/>
        <v>0.60322564795479661</v>
      </c>
      <c r="O949" s="90">
        <f t="shared" si="1022"/>
        <v>0.54329773272389914</v>
      </c>
      <c r="P949" s="302">
        <f>(P918/41.868)-'5-x'!$K$82</f>
        <v>-2.4843000028340612E-3</v>
      </c>
      <c r="R949" s="252">
        <f>R947-R948</f>
        <v>0</v>
      </c>
      <c r="S949" s="252">
        <f>S947-S948</f>
        <v>-1.6101025852321982E-4</v>
      </c>
      <c r="T949" s="252"/>
      <c r="U949" s="252"/>
      <c r="V949" s="252"/>
      <c r="W949" s="252"/>
      <c r="X949" s="252">
        <f>X947-X948</f>
        <v>2.5337941189467301</v>
      </c>
      <c r="AH949" s="216"/>
      <c r="AI949" s="237"/>
    </row>
    <row r="950" spans="1:35">
      <c r="J950" s="90" t="str">
        <f t="shared" si="1022"/>
        <v/>
      </c>
      <c r="K950" s="90">
        <f t="shared" si="1022"/>
        <v>0.69133567087437342</v>
      </c>
      <c r="L950" s="90" t="str">
        <f t="shared" si="1022"/>
        <v/>
      </c>
      <c r="M950" s="90">
        <f t="shared" si="1022"/>
        <v>0.73133691446676097</v>
      </c>
      <c r="N950" s="90">
        <f t="shared" si="1022"/>
        <v>0.79844763077781133</v>
      </c>
      <c r="O950" s="90">
        <f t="shared" si="1022"/>
        <v>0.45795356835769557</v>
      </c>
      <c r="P950" s="302">
        <f>(P912/41.868)-'5-x'!$K$83</f>
        <v>-3.8771000072301831E-3</v>
      </c>
    </row>
    <row r="951" spans="1:35">
      <c r="J951" s="90" t="str">
        <f t="shared" si="1022"/>
        <v/>
      </c>
      <c r="K951" s="90">
        <f t="shared" si="1022"/>
        <v>0.56626880785193512</v>
      </c>
      <c r="L951" s="90">
        <f t="shared" si="1022"/>
        <v>0.47922801709300383</v>
      </c>
      <c r="M951" s="90">
        <f t="shared" si="1022"/>
        <v>0.63029520824021912</v>
      </c>
      <c r="N951" s="90">
        <f t="shared" si="1022"/>
        <v>0.58086281765197079</v>
      </c>
      <c r="O951" s="90">
        <f t="shared" si="1022"/>
        <v>0.78798673381648454</v>
      </c>
    </row>
    <row r="952" spans="1:35">
      <c r="J952" s="90">
        <f t="shared" si="1022"/>
        <v>0.68977528324688153</v>
      </c>
      <c r="K952" s="90">
        <f t="shared" si="1022"/>
        <v>0.84449966262262788</v>
      </c>
      <c r="L952" s="90">
        <f t="shared" si="1022"/>
        <v>0.5531450492757457</v>
      </c>
      <c r="M952" s="90">
        <f t="shared" si="1022"/>
        <v>0.84670564540638449</v>
      </c>
      <c r="N952" s="90">
        <f t="shared" si="1022"/>
        <v>0.54451489448079715</v>
      </c>
      <c r="O952" s="90">
        <f t="shared" si="1022"/>
        <v>0.64072961248997651</v>
      </c>
    </row>
    <row r="953" spans="1:35">
      <c r="J953" s="90" t="str">
        <f t="shared" si="1022"/>
        <v/>
      </c>
      <c r="K953" s="90">
        <f t="shared" si="1022"/>
        <v>0.65686444438143266</v>
      </c>
      <c r="L953" s="90">
        <f t="shared" si="1022"/>
        <v>0.27857789769336305</v>
      </c>
      <c r="M953" s="90">
        <f t="shared" si="1022"/>
        <v>0.60017504291541468</v>
      </c>
      <c r="N953" s="90">
        <f t="shared" si="1022"/>
        <v>0.41834209535639633</v>
      </c>
      <c r="O953" s="90">
        <f t="shared" si="1022"/>
        <v>0.70316876704524467</v>
      </c>
    </row>
    <row r="954" spans="1:35">
      <c r="A954" s="68" t="str">
        <f>$A$893</f>
        <v>Dati 2005 lorda</v>
      </c>
      <c r="J954" s="90"/>
      <c r="K954" s="90"/>
      <c r="L954" s="90"/>
      <c r="M954" s="90"/>
      <c r="N954" s="90"/>
      <c r="O954" s="90"/>
    </row>
    <row r="955" spans="1:35">
      <c r="A955" s="68" t="s">
        <v>281</v>
      </c>
      <c r="B955" s="68"/>
      <c r="C955" s="68"/>
      <c r="D955" s="68"/>
      <c r="E955" s="68"/>
      <c r="F955" s="68"/>
      <c r="G955" s="68"/>
      <c r="H955" s="68"/>
      <c r="I955" s="68"/>
      <c r="J955" s="479">
        <v>0.30797237417221623</v>
      </c>
      <c r="K955" s="479">
        <v>7.5815846354963981</v>
      </c>
      <c r="L955" s="479">
        <v>0.32051322797589599</v>
      </c>
      <c r="M955" s="658">
        <v>4.1774129776451856</v>
      </c>
      <c r="N955" s="657">
        <v>0.71717769214734484</v>
      </c>
      <c r="O955" s="657">
        <v>0</v>
      </c>
      <c r="P955" s="323">
        <f>SUM(J955:O955)</f>
        <v>13.10466090743704</v>
      </c>
    </row>
    <row r="956" spans="1:35">
      <c r="A956" t="s">
        <v>284</v>
      </c>
      <c r="J956" s="211">
        <f t="shared" ref="J956:P956" si="1023">J955/(J935*11.63)*1000000</f>
        <v>377.22019408031616</v>
      </c>
      <c r="K956" s="211">
        <f t="shared" si="1023"/>
        <v>225.89886230648628</v>
      </c>
      <c r="L956" s="211">
        <f t="shared" si="1023"/>
        <v>474.34039507874905</v>
      </c>
      <c r="M956" s="211">
        <f t="shared" si="1023"/>
        <v>283.52108403381533</v>
      </c>
      <c r="N956" s="211">
        <f t="shared" si="1023"/>
        <v>202.5161957700542</v>
      </c>
      <c r="O956" s="211">
        <f t="shared" si="1023"/>
        <v>0</v>
      </c>
      <c r="P956" s="211">
        <f t="shared" si="1023"/>
        <v>244.34840622386804</v>
      </c>
    </row>
    <row r="957" spans="1:35">
      <c r="J957" s="90"/>
      <c r="K957" s="90"/>
      <c r="L957" s="90"/>
      <c r="M957" s="90"/>
      <c r="N957" s="90"/>
      <c r="O957" s="90"/>
    </row>
    <row r="958" spans="1:35">
      <c r="A958" s="68" t="s">
        <v>283</v>
      </c>
      <c r="B958" s="68"/>
      <c r="C958" s="68"/>
      <c r="D958" s="68"/>
      <c r="E958" s="68"/>
      <c r="F958" s="68"/>
      <c r="G958" s="68"/>
      <c r="H958" s="68"/>
      <c r="I958" s="68"/>
      <c r="J958" s="304">
        <f>J955+R918</f>
        <v>0.66618701180798456</v>
      </c>
      <c r="K958" s="304">
        <f t="shared" ref="K958:P958" si="1024">K955+S918</f>
        <v>33.780541354079865</v>
      </c>
      <c r="L958" s="304">
        <f t="shared" si="1024"/>
        <v>7.0653476983656036</v>
      </c>
      <c r="M958" s="304">
        <f t="shared" si="1024"/>
        <v>9.072010524382069</v>
      </c>
      <c r="N958" s="304">
        <f t="shared" si="1024"/>
        <v>7.2574143738490315</v>
      </c>
      <c r="O958" s="304">
        <f t="shared" si="1024"/>
        <v>1.0922559650106706E-2</v>
      </c>
      <c r="P958" s="304">
        <f t="shared" si="1024"/>
        <v>57.852423522134657</v>
      </c>
    </row>
    <row r="959" spans="1:35">
      <c r="A959" t="s">
        <v>284</v>
      </c>
      <c r="J959" s="90">
        <f>J958/((J935*11.63)+J901)*1000000</f>
        <v>492.25908007973288</v>
      </c>
      <c r="K959" s="90">
        <f t="shared" ref="K959:P959" si="1025">K958/((K935*11.63)+K901)*1000000</f>
        <v>333.99812218626033</v>
      </c>
      <c r="L959" s="90">
        <f t="shared" si="1025"/>
        <v>1586.5979822263969</v>
      </c>
      <c r="M959" s="90">
        <f t="shared" si="1025"/>
        <v>395.76661629498517</v>
      </c>
      <c r="N959" s="90">
        <f t="shared" si="1025"/>
        <v>411.03229785476447</v>
      </c>
      <c r="O959" s="90">
        <f>O958/((O935*11.63)+O901)*1000000</f>
        <v>20.512534785400728</v>
      </c>
      <c r="P959" s="90">
        <f t="shared" si="1025"/>
        <v>390.74150048721327</v>
      </c>
    </row>
    <row r="961" spans="1:28">
      <c r="A961" s="68" t="s">
        <v>285</v>
      </c>
      <c r="B961" s="68"/>
      <c r="C961" s="68"/>
      <c r="D961" s="68"/>
      <c r="E961" s="68"/>
      <c r="F961" s="68"/>
      <c r="G961" s="68"/>
      <c r="H961" s="68"/>
      <c r="I961" s="68"/>
      <c r="J961" s="220">
        <f t="shared" ref="J961:P966" si="1026">IFERROR((J$956*J935*11.63/1000000+R918)/(J935*11.63+J901)*1000000,"")</f>
        <v>492.25908007973288</v>
      </c>
      <c r="K961" s="220">
        <f t="shared" si="1026"/>
        <v>333.99812218626033</v>
      </c>
      <c r="L961" s="220">
        <f t="shared" si="1026"/>
        <v>1586.5979822263969</v>
      </c>
      <c r="M961" s="220">
        <f t="shared" si="1026"/>
        <v>395.76661629498517</v>
      </c>
      <c r="N961" s="220">
        <f t="shared" si="1026"/>
        <v>411.03229785476447</v>
      </c>
      <c r="O961" s="220">
        <f t="shared" si="1026"/>
        <v>20.512534785400728</v>
      </c>
      <c r="P961" s="220">
        <f t="shared" si="1026"/>
        <v>390.74150048721327</v>
      </c>
      <c r="R961" s="285">
        <f t="shared" ref="R961:X966" si="1027">IFERROR(J961/R941-1,"")</f>
        <v>-0.26219123305747805</v>
      </c>
      <c r="S961" s="285">
        <f t="shared" si="1027"/>
        <v>-0.1384792385652367</v>
      </c>
      <c r="T961" s="285">
        <f t="shared" si="1027"/>
        <v>-0.1114268692149244</v>
      </c>
      <c r="U961" s="285">
        <f t="shared" si="1027"/>
        <v>-0.33788905667610281</v>
      </c>
      <c r="V961" s="285">
        <f t="shared" si="1027"/>
        <v>-0.11290499202301485</v>
      </c>
      <c r="W961" s="285">
        <f t="shared" si="1027"/>
        <v>-0.56655828119700524</v>
      </c>
      <c r="X961" s="285">
        <f t="shared" si="1027"/>
        <v>-0.17545491638978061</v>
      </c>
    </row>
    <row r="962" spans="1:28">
      <c r="A962" s="216" t="s">
        <v>25</v>
      </c>
      <c r="J962" s="90" t="str">
        <f t="shared" si="1026"/>
        <v/>
      </c>
      <c r="K962" s="90">
        <f t="shared" si="1026"/>
        <v>298.27108964105901</v>
      </c>
      <c r="L962" s="90">
        <f t="shared" si="1026"/>
        <v>1835.4531188042524</v>
      </c>
      <c r="M962" s="90">
        <f t="shared" si="1026"/>
        <v>487.79021479759757</v>
      </c>
      <c r="N962" s="90">
        <f t="shared" si="1026"/>
        <v>353.752057140967</v>
      </c>
      <c r="O962" s="90">
        <f t="shared" si="1026"/>
        <v>29.471060714161823</v>
      </c>
      <c r="P962" s="90">
        <f t="shared" si="1026"/>
        <v>368.97252063117338</v>
      </c>
      <c r="R962" s="284" t="str">
        <f t="shared" si="1027"/>
        <v/>
      </c>
      <c r="S962" s="284">
        <f t="shared" si="1027"/>
        <v>-0.1861840705784451</v>
      </c>
      <c r="T962" s="284">
        <f t="shared" si="1027"/>
        <v>-2.1144821831953764E-2</v>
      </c>
      <c r="U962" s="284">
        <f t="shared" si="1027"/>
        <v>-0.15030884537114764</v>
      </c>
      <c r="V962" s="284">
        <f t="shared" si="1027"/>
        <v>-0.1479997096253145</v>
      </c>
      <c r="W962" s="284">
        <f t="shared" si="1027"/>
        <v>-0.41171570771120969</v>
      </c>
      <c r="X962" s="284">
        <f t="shared" si="1027"/>
        <v>-0.21363221109009434</v>
      </c>
    </row>
    <row r="963" spans="1:28">
      <c r="A963" s="216" t="s">
        <v>26</v>
      </c>
      <c r="J963" s="90" t="str">
        <f t="shared" si="1026"/>
        <v/>
      </c>
      <c r="K963" s="90">
        <f t="shared" si="1026"/>
        <v>294.05577102215204</v>
      </c>
      <c r="L963" s="90" t="str">
        <f t="shared" si="1026"/>
        <v/>
      </c>
      <c r="M963" s="90">
        <f t="shared" si="1026"/>
        <v>359.66666314324368</v>
      </c>
      <c r="N963" s="90">
        <f t="shared" si="1026"/>
        <v>256.70753565908291</v>
      </c>
      <c r="O963" s="90">
        <f t="shared" si="1026"/>
        <v>38.4602994908673</v>
      </c>
      <c r="P963" s="90">
        <f t="shared" si="1026"/>
        <v>307.36461849460045</v>
      </c>
      <c r="R963" s="284" t="str">
        <f t="shared" si="1027"/>
        <v/>
      </c>
      <c r="S963" s="284">
        <f t="shared" si="1027"/>
        <v>-0.21885192390061536</v>
      </c>
      <c r="T963" s="284" t="str">
        <f t="shared" si="1027"/>
        <v/>
      </c>
      <c r="U963" s="284">
        <f t="shared" si="1027"/>
        <v>-0.2657767527306425</v>
      </c>
      <c r="V963" s="284">
        <f t="shared" si="1027"/>
        <v>-0.19962095189477469</v>
      </c>
      <c r="W963" s="284">
        <f t="shared" si="1027"/>
        <v>-0.4367254975591438</v>
      </c>
      <c r="X963" s="284">
        <f t="shared" si="1027"/>
        <v>-0.20450103525145391</v>
      </c>
    </row>
    <row r="964" spans="1:28">
      <c r="A964" s="216" t="s">
        <v>27</v>
      </c>
      <c r="J964" s="90" t="str">
        <f t="shared" si="1026"/>
        <v/>
      </c>
      <c r="K964" s="90">
        <f t="shared" si="1026"/>
        <v>359.06551220075141</v>
      </c>
      <c r="L964" s="90">
        <f t="shared" si="1026"/>
        <v>1500.7392493347252</v>
      </c>
      <c r="M964" s="90">
        <f t="shared" si="1026"/>
        <v>420.50893719049827</v>
      </c>
      <c r="N964" s="90">
        <f t="shared" si="1026"/>
        <v>379.87441110072825</v>
      </c>
      <c r="O964" s="90">
        <f t="shared" si="1026"/>
        <v>7.096624933139017</v>
      </c>
      <c r="P964" s="90">
        <f t="shared" si="1026"/>
        <v>415.47994712898839</v>
      </c>
      <c r="R964" s="284" t="str">
        <f t="shared" si="1027"/>
        <v/>
      </c>
      <c r="S964" s="284">
        <f t="shared" si="1027"/>
        <v>-8.1910728859475257E-2</v>
      </c>
      <c r="T964" s="284">
        <f t="shared" si="1027"/>
        <v>-0.12095958206036395</v>
      </c>
      <c r="U964" s="284">
        <f t="shared" si="1027"/>
        <v>-0.28899384625394786</v>
      </c>
      <c r="V964" s="284">
        <f t="shared" si="1027"/>
        <v>-1.1548492217667405E-2</v>
      </c>
      <c r="W964" s="284">
        <f t="shared" si="1027"/>
        <v>-0.90646921278254089</v>
      </c>
      <c r="X964" s="284">
        <f t="shared" si="1027"/>
        <v>-8.8221882105898763E-2</v>
      </c>
    </row>
    <row r="965" spans="1:28">
      <c r="A965" s="216" t="s">
        <v>28</v>
      </c>
      <c r="J965" s="90">
        <f t="shared" si="1026"/>
        <v>492.25908007973288</v>
      </c>
      <c r="K965" s="90">
        <f t="shared" si="1026"/>
        <v>240.75683455592784</v>
      </c>
      <c r="L965" s="90">
        <f t="shared" si="1026"/>
        <v>1277.4685642454056</v>
      </c>
      <c r="M965" s="90">
        <f t="shared" si="1026"/>
        <v>306.22660652888817</v>
      </c>
      <c r="N965" s="90">
        <f t="shared" si="1026"/>
        <v>386.26610231751675</v>
      </c>
      <c r="O965" s="90">
        <f t="shared" si="1026"/>
        <v>16.647846832422445</v>
      </c>
      <c r="P965" s="90">
        <f t="shared" si="1026"/>
        <v>288.10055792458166</v>
      </c>
      <c r="R965" s="284">
        <f t="shared" si="1027"/>
        <v>-0.26219123305747805</v>
      </c>
      <c r="S965" s="284">
        <f t="shared" si="1027"/>
        <v>-0.20825673118487764</v>
      </c>
      <c r="T965" s="284">
        <f t="shared" si="1027"/>
        <v>-9.2188651570785596E-2</v>
      </c>
      <c r="U965" s="284">
        <f t="shared" si="1027"/>
        <v>-0.22146907311453923</v>
      </c>
      <c r="V965" s="284">
        <f t="shared" si="1027"/>
        <v>-0.29350804466175417</v>
      </c>
      <c r="W965" s="284">
        <f t="shared" si="1027"/>
        <v>-0.7014475271411339</v>
      </c>
      <c r="X965" s="284">
        <f t="shared" si="1027"/>
        <v>-0.31714341910547084</v>
      </c>
    </row>
    <row r="966" spans="1:28">
      <c r="A966" s="216" t="s">
        <v>29</v>
      </c>
      <c r="J966" s="90" t="str">
        <f t="shared" si="1026"/>
        <v/>
      </c>
      <c r="K966" s="90">
        <f t="shared" si="1026"/>
        <v>309.49831162716038</v>
      </c>
      <c r="L966" s="90">
        <f t="shared" si="1026"/>
        <v>2684.8048679655089</v>
      </c>
      <c r="M966" s="90">
        <f t="shared" si="1026"/>
        <v>441.31538754362674</v>
      </c>
      <c r="N966" s="90">
        <f t="shared" si="1026"/>
        <v>508.2054289281707</v>
      </c>
      <c r="O966" s="90">
        <f t="shared" si="1026"/>
        <v>15.27041636470503</v>
      </c>
      <c r="P966" s="90">
        <f t="shared" si="1026"/>
        <v>456.29515803031779</v>
      </c>
      <c r="R966" s="284" t="str">
        <f t="shared" si="1027"/>
        <v/>
      </c>
      <c r="S966" s="284">
        <f t="shared" si="1027"/>
        <v>-0.33423418079684408</v>
      </c>
      <c r="T966" s="284">
        <f t="shared" si="1027"/>
        <v>0</v>
      </c>
      <c r="U966" s="284">
        <f t="shared" si="1027"/>
        <v>-0.34652074633480023</v>
      </c>
      <c r="V966" s="284">
        <f t="shared" si="1027"/>
        <v>-0.35774044646598913</v>
      </c>
      <c r="W966" s="284">
        <f t="shared" si="1027"/>
        <v>-0.63690650342463195</v>
      </c>
      <c r="X966" s="284">
        <f t="shared" si="1027"/>
        <v>-0.38276357762685087</v>
      </c>
    </row>
    <row r="967" spans="1:28">
      <c r="J967" s="90"/>
      <c r="K967" s="90"/>
      <c r="L967" s="90"/>
      <c r="M967" s="90"/>
      <c r="N967" s="90"/>
      <c r="O967" s="90"/>
    </row>
    <row r="968" spans="1:28">
      <c r="J968" s="90"/>
      <c r="K968" s="90"/>
      <c r="L968" s="90"/>
      <c r="M968" s="90"/>
      <c r="N968" s="90"/>
      <c r="O968" s="90"/>
    </row>
    <row r="969" spans="1:28">
      <c r="J969" s="90"/>
      <c r="K969" s="90"/>
      <c r="L969" s="90"/>
      <c r="M969" s="90"/>
      <c r="N969" s="90"/>
      <c r="O969" s="90"/>
    </row>
    <row r="970" spans="1:28">
      <c r="J970" s="90"/>
      <c r="K970" s="90"/>
      <c r="L970" s="90"/>
      <c r="M970" s="90"/>
      <c r="N970" s="90"/>
      <c r="O970" s="90"/>
    </row>
    <row r="971" spans="1:28">
      <c r="J971" s="90"/>
      <c r="K971" s="90"/>
      <c r="L971" s="90"/>
      <c r="M971" s="90"/>
      <c r="N971" s="90"/>
      <c r="O971" s="90"/>
    </row>
    <row r="972" spans="1:28">
      <c r="J972" s="90"/>
      <c r="K972" s="90"/>
      <c r="L972" s="90"/>
      <c r="M972" s="90"/>
      <c r="N972" s="90"/>
      <c r="O972" s="90"/>
    </row>
    <row r="973" spans="1:28">
      <c r="J973" s="90"/>
      <c r="K973" s="90"/>
      <c r="L973" s="90"/>
      <c r="M973" s="90"/>
      <c r="N973" s="90"/>
      <c r="O973" s="90"/>
    </row>
    <row r="974" spans="1:28">
      <c r="A974" s="255" t="s">
        <v>250</v>
      </c>
      <c r="B974" s="255"/>
      <c r="C974" s="255"/>
      <c r="D974" s="255"/>
      <c r="E974" s="255"/>
      <c r="F974" s="255"/>
      <c r="G974" s="255"/>
      <c r="H974" s="255"/>
      <c r="I974" s="255"/>
      <c r="J974" s="255"/>
      <c r="K974" s="255"/>
      <c r="L974" s="255"/>
      <c r="M974" s="255"/>
      <c r="N974" s="255"/>
      <c r="O974" s="255"/>
      <c r="P974" s="255"/>
      <c r="Q974" s="255"/>
      <c r="R974" s="255"/>
      <c r="S974" s="255"/>
      <c r="T974" s="255"/>
      <c r="U974" s="255"/>
      <c r="V974" s="255"/>
      <c r="W974" s="255"/>
      <c r="X974" s="255"/>
    </row>
    <row r="975" spans="1:28">
      <c r="A975" t="s">
        <v>252</v>
      </c>
    </row>
    <row r="976" spans="1:28">
      <c r="A976" s="68" t="s">
        <v>245</v>
      </c>
      <c r="K976" s="247">
        <v>1.0384447916399862</v>
      </c>
      <c r="N976" s="247">
        <v>0.33712034206760061</v>
      </c>
      <c r="R976" s="250">
        <v>0.95730863744414552</v>
      </c>
      <c r="S976" s="250">
        <v>1.0699222884368824</v>
      </c>
      <c r="T976" s="250">
        <v>0.86428290719271073</v>
      </c>
      <c r="U976" s="250">
        <v>1.0079273800267738</v>
      </c>
      <c r="V976" s="250">
        <v>1.1870497784792071</v>
      </c>
      <c r="AA976" s="68" t="s">
        <v>218</v>
      </c>
      <c r="AB976" s="213" t="s">
        <v>217</v>
      </c>
    </row>
    <row r="977" spans="1:34">
      <c r="A977" s="68"/>
      <c r="E977" s="68" t="s">
        <v>199</v>
      </c>
      <c r="J977" s="210" t="s">
        <v>5</v>
      </c>
      <c r="K977" s="210" t="s">
        <v>210</v>
      </c>
      <c r="L977" s="210" t="s">
        <v>211</v>
      </c>
      <c r="M977" s="210" t="s">
        <v>214</v>
      </c>
      <c r="N977" s="210" t="s">
        <v>246</v>
      </c>
      <c r="O977" s="210"/>
      <c r="P977" s="210" t="s">
        <v>213</v>
      </c>
      <c r="Q977" s="68" t="s">
        <v>136</v>
      </c>
      <c r="R977" s="210" t="s">
        <v>5</v>
      </c>
      <c r="S977" s="210" t="s">
        <v>210</v>
      </c>
      <c r="T977" s="210" t="s">
        <v>211</v>
      </c>
      <c r="U977" s="210" t="s">
        <v>214</v>
      </c>
      <c r="V977" s="210" t="s">
        <v>246</v>
      </c>
      <c r="W977" s="210"/>
      <c r="X977" s="210" t="s">
        <v>213</v>
      </c>
      <c r="AA977" s="68" t="s">
        <v>5</v>
      </c>
    </row>
    <row r="978" spans="1:34" ht="15.6">
      <c r="A978" s="11" t="s">
        <v>17</v>
      </c>
      <c r="J978" s="209">
        <f t="shared" ref="J978:P978" si="1028">SUM(J979:J983)</f>
        <v>25742.3</v>
      </c>
      <c r="K978" s="209">
        <f t="shared" si="1028"/>
        <v>60293.662269805056</v>
      </c>
      <c r="L978" s="209">
        <f t="shared" si="1028"/>
        <v>1534.8999999999999</v>
      </c>
      <c r="M978" s="209">
        <f t="shared" si="1028"/>
        <v>73074.2</v>
      </c>
      <c r="N978" s="209">
        <f t="shared" si="1028"/>
        <v>389.77853949855978</v>
      </c>
      <c r="O978" s="209"/>
      <c r="P978" s="209">
        <f t="shared" si="1028"/>
        <v>161034.8408093036</v>
      </c>
      <c r="Q978" s="143"/>
      <c r="R978" s="236"/>
      <c r="S978" s="236"/>
      <c r="T978" s="236"/>
      <c r="U978" s="236"/>
      <c r="V978" s="236"/>
      <c r="W978" s="236"/>
      <c r="X978" s="236"/>
      <c r="Z978" s="199">
        <f>AA978*AB978</f>
        <v>534508.00056994415</v>
      </c>
      <c r="AA978" s="90">
        <v>5792.5145695996944</v>
      </c>
      <c r="AB978" s="90">
        <v>92.275641976828496</v>
      </c>
      <c r="AC978" s="216" t="s">
        <v>59</v>
      </c>
      <c r="AH978" s="216"/>
    </row>
    <row r="979" spans="1:34" ht="15.6">
      <c r="A979" s="10" t="s">
        <v>18</v>
      </c>
      <c r="K979" s="177">
        <f>K1041*$K$976</f>
        <v>297.09905488820004</v>
      </c>
      <c r="M979">
        <f>M1041</f>
        <v>257.89999999999998</v>
      </c>
      <c r="N979" s="177">
        <f>N1041*$N$976</f>
        <v>219.39791861759446</v>
      </c>
      <c r="P979" s="68">
        <f>SUM(J979:N979)</f>
        <v>774.39697350579445</v>
      </c>
      <c r="Q979" s="143"/>
      <c r="R979" s="201"/>
      <c r="S979" s="201">
        <f t="shared" ref="S979:V982" si="1029">S1041*S$976</f>
        <v>11.378058618557951</v>
      </c>
      <c r="T979" s="201"/>
      <c r="U979" s="201">
        <f>U1041*U$976</f>
        <v>10.338976369005437</v>
      </c>
      <c r="V979" s="201">
        <f>V1041*V$976</f>
        <v>10.904048387505618</v>
      </c>
      <c r="W979" s="201"/>
      <c r="X979" s="236"/>
      <c r="Z979" s="199">
        <f>AA979*AB979</f>
        <v>0</v>
      </c>
      <c r="AA979" s="90">
        <v>0</v>
      </c>
      <c r="AB979" s="90">
        <v>92.275641976828496</v>
      </c>
      <c r="AC979" s="216" t="s">
        <v>60</v>
      </c>
      <c r="AH979" s="216"/>
    </row>
    <row r="980" spans="1:34" ht="15.6">
      <c r="A980" s="10" t="s">
        <v>19</v>
      </c>
      <c r="K980" s="177">
        <f>K1042*$K$976</f>
        <v>11633.5931562636</v>
      </c>
      <c r="L980">
        <f>L1042</f>
        <v>69.3</v>
      </c>
      <c r="M980">
        <f>M1042</f>
        <v>1091.5</v>
      </c>
      <c r="N980" s="177">
        <f>N1042*$N$976</f>
        <v>6.8772549781790522</v>
      </c>
      <c r="P980" s="68">
        <f>SUM(J980:N980)</f>
        <v>12801.270411241778</v>
      </c>
      <c r="Q980" s="143"/>
      <c r="R980" s="201"/>
      <c r="S980" s="201">
        <f t="shared" si="1029"/>
        <v>11.17647883988271</v>
      </c>
      <c r="T980" s="201">
        <f t="shared" si="1029"/>
        <v>23.15529134566459</v>
      </c>
      <c r="U980" s="201">
        <f t="shared" si="1029"/>
        <v>12.49539144025514</v>
      </c>
      <c r="V980" s="201">
        <f t="shared" si="1029"/>
        <v>14.248818015942847</v>
      </c>
      <c r="W980" s="201"/>
      <c r="X980" s="236"/>
      <c r="Z980" s="199">
        <f>AA980*AB980</f>
        <v>125.44186490876086</v>
      </c>
      <c r="AA980" s="90">
        <v>1.2419986624629789</v>
      </c>
      <c r="AB980" s="90">
        <v>101</v>
      </c>
      <c r="AC980" s="216" t="s">
        <v>61</v>
      </c>
      <c r="AH980" s="216"/>
    </row>
    <row r="981" spans="1:34" ht="15.6">
      <c r="A981" s="10" t="s">
        <v>20</v>
      </c>
      <c r="J981">
        <f>J1043</f>
        <v>25742.3</v>
      </c>
      <c r="K981" s="177">
        <f>K1043*$K$976</f>
        <v>41220.650626232593</v>
      </c>
      <c r="L981">
        <f>L1043</f>
        <v>1465.6</v>
      </c>
      <c r="M981">
        <f>M1043</f>
        <v>71724.800000000003</v>
      </c>
      <c r="N981" s="177">
        <f>N1043*$N$976</f>
        <v>163.5033659027863</v>
      </c>
      <c r="P981" s="68">
        <f>SUM(J981:N981)</f>
        <v>140316.85399213538</v>
      </c>
      <c r="Q981" s="143"/>
      <c r="R981" s="201">
        <f>R1043*R$976</f>
        <v>9.330763221968672</v>
      </c>
      <c r="S981" s="201">
        <f t="shared" si="1029"/>
        <v>9.1024468948463593</v>
      </c>
      <c r="T981" s="201">
        <f t="shared" si="1029"/>
        <v>8.6773540626509895</v>
      </c>
      <c r="U981" s="201">
        <f t="shared" si="1029"/>
        <v>9.4274584523910807</v>
      </c>
      <c r="V981" s="201">
        <f t="shared" si="1029"/>
        <v>20.689860272190469</v>
      </c>
      <c r="W981" s="201"/>
      <c r="X981" s="236"/>
      <c r="Z981" s="199">
        <f>AA981*AB981</f>
        <v>0</v>
      </c>
      <c r="AA981" s="90">
        <v>0</v>
      </c>
      <c r="AB981" s="90">
        <v>96.1</v>
      </c>
      <c r="AC981" s="216" t="s">
        <v>62</v>
      </c>
      <c r="AH981" s="216"/>
    </row>
    <row r="982" spans="1:34" ht="15.6">
      <c r="A982" s="10" t="s">
        <v>21</v>
      </c>
      <c r="K982" s="177">
        <f>K1044*$K$976</f>
        <v>7142.3194324206606</v>
      </c>
      <c r="P982" s="68">
        <f>SUM(J982:N982)</f>
        <v>7142.3194324206606</v>
      </c>
      <c r="Q982" s="143"/>
      <c r="R982" s="201"/>
      <c r="S982" s="201">
        <f t="shared" si="1029"/>
        <v>7.9153659759810617</v>
      </c>
      <c r="T982" s="201"/>
      <c r="U982" s="201"/>
      <c r="V982" s="201"/>
      <c r="W982" s="201"/>
      <c r="X982" s="236"/>
      <c r="AA982" s="220" t="s">
        <v>210</v>
      </c>
      <c r="AB982" s="90"/>
      <c r="AH982" s="223"/>
    </row>
    <row r="983" spans="1:34" ht="15.6">
      <c r="A983" s="10" t="s">
        <v>23</v>
      </c>
      <c r="P983" s="68"/>
      <c r="Q983" s="143"/>
      <c r="R983" s="201"/>
      <c r="S983" s="201"/>
      <c r="T983" s="201"/>
      <c r="U983" s="201"/>
      <c r="V983" s="201"/>
      <c r="W983" s="201"/>
      <c r="X983" s="236"/>
      <c r="AA983" s="90">
        <v>20917.789242380815</v>
      </c>
      <c r="AB983" s="90">
        <v>55.59851755531944</v>
      </c>
      <c r="AC983" s="216" t="s">
        <v>63</v>
      </c>
      <c r="AH983" s="216"/>
    </row>
    <row r="984" spans="1:34" ht="15.6">
      <c r="A984" s="11" t="s">
        <v>24</v>
      </c>
      <c r="J984" s="209">
        <f t="shared" ref="J984:P984" si="1030">SUM(J985:J989)</f>
        <v>529.70000000000005</v>
      </c>
      <c r="K984" s="209">
        <f t="shared" si="1030"/>
        <v>41066.337730194893</v>
      </c>
      <c r="L984" s="209">
        <f t="shared" si="1030"/>
        <v>2716.9</v>
      </c>
      <c r="M984" s="209">
        <f t="shared" si="1030"/>
        <v>12803.7</v>
      </c>
      <c r="N984" s="209">
        <f t="shared" si="1030"/>
        <v>1518.2214605014394</v>
      </c>
      <c r="O984" s="209"/>
      <c r="P984" s="209">
        <f t="shared" si="1030"/>
        <v>58634.859190696334</v>
      </c>
      <c r="Q984" s="143"/>
      <c r="R984" s="236"/>
      <c r="S984" s="236"/>
      <c r="T984" s="236"/>
      <c r="U984" s="236"/>
      <c r="V984" s="236"/>
      <c r="W984" s="236"/>
      <c r="X984" s="236"/>
      <c r="Z984" s="199"/>
      <c r="AA984" s="220" t="s">
        <v>237</v>
      </c>
      <c r="AB984" s="90"/>
      <c r="AH984" s="223"/>
    </row>
    <row r="985" spans="1:34" ht="15.6">
      <c r="A985" s="10" t="s">
        <v>25</v>
      </c>
      <c r="K985" s="177">
        <f>K1047*$K$976</f>
        <v>1095.6630996593492</v>
      </c>
      <c r="L985">
        <f>L1047</f>
        <v>142.4</v>
      </c>
      <c r="M985">
        <f>M1047</f>
        <v>122</v>
      </c>
      <c r="N985" s="177">
        <f>N1047*$N$976</f>
        <v>13.956782161598666</v>
      </c>
      <c r="P985" s="68">
        <f>SUM(J985:N985)</f>
        <v>1374.0198818209481</v>
      </c>
      <c r="Q985" s="143"/>
      <c r="R985" s="201"/>
      <c r="S985" s="201">
        <f>S1047*S$976</f>
        <v>6.1190661704528191</v>
      </c>
      <c r="T985" s="201">
        <f>T1047*T$976</f>
        <v>4.161366627209607</v>
      </c>
      <c r="U985" s="201">
        <f>U1047*U$976</f>
        <v>7.1360036897911003</v>
      </c>
      <c r="V985" s="201">
        <f>V1047*V$976</f>
        <v>5.3078959333892435</v>
      </c>
      <c r="W985" s="201"/>
      <c r="X985" s="236"/>
      <c r="Z985" s="199">
        <f>AA985*AB985</f>
        <v>14127.752746727812</v>
      </c>
      <c r="AA985" s="90">
        <v>72.41807585745677</v>
      </c>
      <c r="AB985" s="90">
        <v>195.08600000000001</v>
      </c>
      <c r="AC985" s="216" t="s">
        <v>154</v>
      </c>
      <c r="AH985" s="216"/>
    </row>
    <row r="986" spans="1:34" ht="15.6">
      <c r="A986" s="10" t="s">
        <v>26</v>
      </c>
      <c r="K986" s="177">
        <f>K1048*$K$976</f>
        <v>4572.4801065491865</v>
      </c>
      <c r="M986">
        <f>M1048</f>
        <v>526.9</v>
      </c>
      <c r="N986" s="177">
        <f>N1048*$N$976</f>
        <v>10.61929077512942</v>
      </c>
      <c r="P986" s="68">
        <f>SUM(J986:N986)</f>
        <v>5109.9993973243154</v>
      </c>
      <c r="Q986" s="143"/>
      <c r="R986" s="201"/>
      <c r="S986" s="201">
        <f>S1048*S$976</f>
        <v>6.1593821261878663</v>
      </c>
      <c r="T986" s="201"/>
      <c r="U986" s="201">
        <f t="shared" ref="U986:V989" si="1031">U1048*U$976</f>
        <v>5.0639884256353156</v>
      </c>
      <c r="V986" s="201">
        <f t="shared" si="1031"/>
        <v>6.2820041758464447</v>
      </c>
      <c r="W986" s="201"/>
      <c r="X986" s="236"/>
      <c r="Z986" s="199">
        <f>AA986*AB986</f>
        <v>125373.91325117034</v>
      </c>
      <c r="AA986" s="90">
        <v>463.36103945734209</v>
      </c>
      <c r="AB986" s="90">
        <v>270.57499999999999</v>
      </c>
      <c r="AC986" s="216" t="s">
        <v>155</v>
      </c>
      <c r="AH986" s="216"/>
    </row>
    <row r="987" spans="1:34" ht="15.6">
      <c r="A987" s="10" t="s">
        <v>27</v>
      </c>
      <c r="K987" s="177">
        <f>K1049*$K$976</f>
        <v>28157.430525318225</v>
      </c>
      <c r="L987">
        <f>L1049</f>
        <v>2300.3000000000002</v>
      </c>
      <c r="M987">
        <f>M1049</f>
        <v>4739</v>
      </c>
      <c r="N987" s="177">
        <f>N1049*$N$976</f>
        <v>948.15096206512669</v>
      </c>
      <c r="P987" s="68">
        <f>SUM(J987:N987)</f>
        <v>36144.881487383354</v>
      </c>
      <c r="Q987" s="143"/>
      <c r="R987" s="201"/>
      <c r="S987" s="201">
        <f>S1049*S$976</f>
        <v>7.7988976594131465</v>
      </c>
      <c r="T987" s="201">
        <f>T1049*T$976</f>
        <v>7.4759856102739555</v>
      </c>
      <c r="U987" s="201">
        <f t="shared" si="1031"/>
        <v>7.739462310512641</v>
      </c>
      <c r="V987" s="201">
        <f t="shared" si="1031"/>
        <v>8.0165132402217694</v>
      </c>
      <c r="W987" s="201"/>
      <c r="X987" s="236"/>
      <c r="Z987" s="199">
        <f>AA987*AB987</f>
        <v>12659.048581255372</v>
      </c>
      <c r="AA987" s="90">
        <v>300.61144549536635</v>
      </c>
      <c r="AB987" s="90">
        <v>42.110999999999997</v>
      </c>
      <c r="AC987" s="216" t="s">
        <v>156</v>
      </c>
      <c r="AH987" s="216"/>
    </row>
    <row r="988" spans="1:34" ht="15.6">
      <c r="A988" s="10" t="s">
        <v>28</v>
      </c>
      <c r="J988">
        <f>J1050</f>
        <v>529.70000000000005</v>
      </c>
      <c r="K988" s="177">
        <f>K1050*$K$976</f>
        <v>2977.9481289859882</v>
      </c>
      <c r="M988">
        <f>M1050</f>
        <v>1972.1</v>
      </c>
      <c r="N988" s="177">
        <f>N1050*$N$976</f>
        <v>251.82889552449765</v>
      </c>
      <c r="P988" s="68">
        <f>SUM(J988:N988)</f>
        <v>5731.5770245104859</v>
      </c>
      <c r="Q988" s="143"/>
      <c r="R988" s="201">
        <f>R1050*R$976</f>
        <v>4.4890269796412863</v>
      </c>
      <c r="S988" s="201">
        <f>S1050*S$976</f>
        <v>5.070851321341574</v>
      </c>
      <c r="T988" s="201"/>
      <c r="U988" s="201">
        <f t="shared" si="1031"/>
        <v>4.8403289368364231</v>
      </c>
      <c r="V988" s="201">
        <f t="shared" si="1031"/>
        <v>6.1925452556207832</v>
      </c>
      <c r="W988" s="201"/>
      <c r="X988" s="236"/>
      <c r="Z988" s="199">
        <f>AA988*AB988</f>
        <v>0</v>
      </c>
      <c r="AA988" s="90">
        <v>0</v>
      </c>
      <c r="AB988" s="90">
        <v>56.1</v>
      </c>
      <c r="AC988" s="217" t="s">
        <v>220</v>
      </c>
      <c r="AH988" s="223"/>
    </row>
    <row r="989" spans="1:34" ht="15.6">
      <c r="A989" s="10" t="s">
        <v>29</v>
      </c>
      <c r="K989" s="177">
        <f>K1051*$K$976</f>
        <v>4262.8158696821429</v>
      </c>
      <c r="L989">
        <f>L1051</f>
        <v>274.2</v>
      </c>
      <c r="M989">
        <f>M1051</f>
        <v>5443.7</v>
      </c>
      <c r="N989" s="177">
        <f>N1051*$N$976</f>
        <v>293.66552997508688</v>
      </c>
      <c r="P989" s="68">
        <f>SUM(J989:N989)</f>
        <v>10274.38139965723</v>
      </c>
      <c r="Q989" s="143"/>
      <c r="R989" s="201"/>
      <c r="S989" s="201">
        <f>S1051*S$976</f>
        <v>9.6355134206764355</v>
      </c>
      <c r="T989" s="201">
        <f>T1051*T$976</f>
        <v>10.598819870519078</v>
      </c>
      <c r="U989" s="201">
        <f t="shared" si="1031"/>
        <v>9.4021385102629047</v>
      </c>
      <c r="V989" s="201">
        <f t="shared" si="1031"/>
        <v>10.715190667029221</v>
      </c>
      <c r="W989" s="201"/>
      <c r="X989" s="236"/>
      <c r="AA989" s="220" t="s">
        <v>238</v>
      </c>
      <c r="AB989" s="90"/>
      <c r="AH989" s="216"/>
    </row>
    <row r="990" spans="1:34" ht="15.6">
      <c r="Q990" s="2"/>
      <c r="R990" s="236"/>
      <c r="S990" s="236"/>
      <c r="T990" s="236"/>
      <c r="U990" s="236"/>
      <c r="V990" s="236"/>
      <c r="W990" s="236"/>
      <c r="X990" s="236"/>
      <c r="Z990" s="199">
        <f t="shared" ref="Z990:Z998" si="1032">AA990*AB990</f>
        <v>0</v>
      </c>
      <c r="AA990" s="90">
        <v>0</v>
      </c>
      <c r="AB990" s="90">
        <v>71.5</v>
      </c>
      <c r="AC990" s="216" t="s">
        <v>66</v>
      </c>
      <c r="AH990" s="216"/>
    </row>
    <row r="991" spans="1:34" ht="15.6">
      <c r="A991" s="11" t="s">
        <v>10</v>
      </c>
      <c r="J991" s="209">
        <f t="shared" ref="J991:P991" si="1033">J978+J984</f>
        <v>26272</v>
      </c>
      <c r="K991" s="249">
        <f t="shared" si="1033"/>
        <v>101359.99999999994</v>
      </c>
      <c r="L991" s="209">
        <f t="shared" si="1033"/>
        <v>4251.8</v>
      </c>
      <c r="M991" s="209">
        <f t="shared" si="1033"/>
        <v>85877.9</v>
      </c>
      <c r="N991" s="249">
        <f t="shared" si="1033"/>
        <v>1907.9999999999991</v>
      </c>
      <c r="O991" s="209"/>
      <c r="P991" s="209">
        <f t="shared" si="1033"/>
        <v>219669.69999999992</v>
      </c>
      <c r="Q991" s="2"/>
      <c r="R991" s="236"/>
      <c r="S991" s="236"/>
      <c r="T991" s="236"/>
      <c r="U991" s="236"/>
      <c r="V991" s="236"/>
      <c r="W991" s="236"/>
      <c r="X991" s="236"/>
      <c r="Z991" s="199">
        <f t="shared" si="1032"/>
        <v>0</v>
      </c>
      <c r="AA991" s="90">
        <v>0</v>
      </c>
      <c r="AB991" s="90">
        <v>97.7</v>
      </c>
      <c r="AC991" s="216" t="s">
        <v>67</v>
      </c>
      <c r="AH991" s="216"/>
    </row>
    <row r="992" spans="1:34">
      <c r="J992" s="251">
        <v>26272</v>
      </c>
      <c r="K992" s="243">
        <v>101360</v>
      </c>
      <c r="L992" s="251">
        <v>4252</v>
      </c>
      <c r="M992" s="251">
        <v>85878</v>
      </c>
      <c r="N992" s="243">
        <v>1908</v>
      </c>
      <c r="P992" s="211">
        <f>SUM(J992:N992)</f>
        <v>219670</v>
      </c>
      <c r="Z992" s="199">
        <f t="shared" si="1032"/>
        <v>0</v>
      </c>
      <c r="AA992" s="90">
        <v>0</v>
      </c>
      <c r="AB992" s="90">
        <v>63.1</v>
      </c>
      <c r="AC992" s="216" t="s">
        <v>69</v>
      </c>
      <c r="AH992" s="216"/>
    </row>
    <row r="993" spans="1:36">
      <c r="E993" s="68" t="s">
        <v>189</v>
      </c>
      <c r="K993" s="177"/>
      <c r="N993" s="177"/>
      <c r="Z993" s="199">
        <f t="shared" si="1032"/>
        <v>0</v>
      </c>
      <c r="AA993" s="90">
        <v>0</v>
      </c>
      <c r="AB993" s="90">
        <v>57.6</v>
      </c>
      <c r="AC993" s="216" t="s">
        <v>70</v>
      </c>
      <c r="AH993" s="216"/>
    </row>
    <row r="994" spans="1:36">
      <c r="J994" s="210" t="s">
        <v>5</v>
      </c>
      <c r="K994" s="210" t="s">
        <v>210</v>
      </c>
      <c r="L994" s="210" t="s">
        <v>211</v>
      </c>
      <c r="M994" s="210" t="s">
        <v>214</v>
      </c>
      <c r="N994" s="210" t="s">
        <v>246</v>
      </c>
      <c r="O994" s="210"/>
      <c r="P994" s="210" t="s">
        <v>213</v>
      </c>
      <c r="R994" s="68" t="s">
        <v>234</v>
      </c>
      <c r="Z994" s="199">
        <f t="shared" si="1032"/>
        <v>0</v>
      </c>
      <c r="AA994" s="90">
        <v>0</v>
      </c>
      <c r="AB994" s="90">
        <v>74.099999999999994</v>
      </c>
      <c r="AC994" s="216" t="s">
        <v>71</v>
      </c>
      <c r="AH994" s="216"/>
    </row>
    <row r="995" spans="1:36">
      <c r="A995" s="11" t="s">
        <v>17</v>
      </c>
      <c r="J995" s="209">
        <f>SUM(J996:J1000)</f>
        <v>240195.30608888413</v>
      </c>
      <c r="K995" s="209">
        <f>SUM(K996:K1000)</f>
        <v>565145.8737260889</v>
      </c>
      <c r="L995" s="209">
        <f>SUM(L996:L1000)</f>
        <v>14322.191804475846</v>
      </c>
      <c r="M995" s="209">
        <f>SUM(M996:M1000)</f>
        <v>692487.71376866475</v>
      </c>
      <c r="N995" s="209">
        <f>SUM(N996:N1000)</f>
        <v>5873.1800699190599</v>
      </c>
      <c r="O995" s="209"/>
      <c r="P995" s="212">
        <f>SUM(J995:O995)</f>
        <v>1518024.2654580327</v>
      </c>
      <c r="Q995" s="198"/>
      <c r="R995" s="209">
        <f>SUM(R996:R1000)</f>
        <v>22.164625288962036</v>
      </c>
      <c r="S995" s="209">
        <f>SUM(S996:S1000)</f>
        <v>31.421272781676294</v>
      </c>
      <c r="T995" s="209">
        <f>SUM(T996:T1000)</f>
        <v>2.6055709394876456</v>
      </c>
      <c r="U995" s="209">
        <f>SUM(U996:U1000)</f>
        <v>53.439939923900418</v>
      </c>
      <c r="V995" s="209">
        <f>SUM(V996:V1000)</f>
        <v>0.16206861043504439</v>
      </c>
      <c r="W995" s="209"/>
      <c r="X995" s="220">
        <f t="shared" ref="X995:X1006" si="1034">SUM(R995:W995)</f>
        <v>109.79347754446144</v>
      </c>
      <c r="Z995" s="199">
        <f t="shared" si="1032"/>
        <v>0</v>
      </c>
      <c r="AA995" s="90">
        <v>0</v>
      </c>
      <c r="AB995" s="90">
        <v>74.099999999999994</v>
      </c>
      <c r="AC995" s="216" t="s">
        <v>72</v>
      </c>
      <c r="AH995" s="241"/>
      <c r="AI995" s="242"/>
      <c r="AJ995" s="242"/>
    </row>
    <row r="996" spans="1:36">
      <c r="A996" s="10" t="s">
        <v>18</v>
      </c>
      <c r="J996" s="197">
        <f t="shared" ref="J996:N1000" si="1035">IFERROR(J979*R979,"")</f>
        <v>0</v>
      </c>
      <c r="K996" s="197">
        <f t="shared" si="1035"/>
        <v>3380.4104620361063</v>
      </c>
      <c r="L996" s="197">
        <f t="shared" si="1035"/>
        <v>0</v>
      </c>
      <c r="M996" s="197">
        <f t="shared" si="1035"/>
        <v>2666.4220055665019</v>
      </c>
      <c r="N996" s="197">
        <f t="shared" si="1035"/>
        <v>2392.3255207242696</v>
      </c>
      <c r="O996" s="197"/>
      <c r="P996" s="212">
        <f>SUM(J996:N996)</f>
        <v>8439.1579883268769</v>
      </c>
      <c r="Q996" s="198"/>
      <c r="R996" s="211">
        <f>J996*J1010/1000000</f>
        <v>0</v>
      </c>
      <c r="S996" s="211">
        <f>K996*K1010/1000000</f>
        <v>0.18794581041769995</v>
      </c>
      <c r="T996" s="211">
        <f>L996*L1010/1000000</f>
        <v>0</v>
      </c>
      <c r="U996" s="211">
        <f>M996*M1010/1000000</f>
        <v>0.20577033925087349</v>
      </c>
      <c r="V996" s="211">
        <f>N996*N1010/1000000</f>
        <v>6.6015492158649186E-2</v>
      </c>
      <c r="W996" s="211"/>
      <c r="X996" s="220">
        <f t="shared" si="1034"/>
        <v>0.45973164182722259</v>
      </c>
      <c r="Z996" s="199">
        <f t="shared" si="1032"/>
        <v>1383305.3581810081</v>
      </c>
      <c r="AA996" s="90">
        <v>18144.406229100983</v>
      </c>
      <c r="AB996" s="90">
        <v>76.238667758793227</v>
      </c>
      <c r="AC996" s="233" t="s">
        <v>73</v>
      </c>
      <c r="AH996" s="241"/>
      <c r="AI996" s="242"/>
      <c r="AJ996" s="242"/>
    </row>
    <row r="997" spans="1:36">
      <c r="A997" s="10" t="s">
        <v>19</v>
      </c>
      <c r="J997" s="197">
        <f t="shared" si="1035"/>
        <v>0</v>
      </c>
      <c r="K997" s="197">
        <f t="shared" si="1035"/>
        <v>130022.60774278444</v>
      </c>
      <c r="L997" s="197">
        <f t="shared" si="1035"/>
        <v>1604.6616902545561</v>
      </c>
      <c r="M997" s="197">
        <f t="shared" si="1035"/>
        <v>13638.719757038485</v>
      </c>
      <c r="N997" s="197">
        <f t="shared" si="1035"/>
        <v>97.992754633310312</v>
      </c>
      <c r="O997" s="197"/>
      <c r="P997" s="212">
        <f>SUM(J997:N997)</f>
        <v>145363.9819447108</v>
      </c>
      <c r="Q997" s="198"/>
      <c r="R997" s="211">
        <f>J997*J1010/1000000</f>
        <v>0</v>
      </c>
      <c r="S997" s="211">
        <f>K997*K1010/1000000</f>
        <v>7.2290642391756137</v>
      </c>
      <c r="T997" s="211">
        <f>L997*L1010/1000000</f>
        <v>0.29192877214015306</v>
      </c>
      <c r="U997" s="211">
        <f>M997*M1010/1000000</f>
        <v>1.0525130626339656</v>
      </c>
      <c r="V997" s="211">
        <f>N997*N1010/1000000</f>
        <v>2.70408013836731E-3</v>
      </c>
      <c r="W997" s="211"/>
      <c r="X997" s="220">
        <f t="shared" si="1034"/>
        <v>8.5762101540880984</v>
      </c>
      <c r="Z997" s="199">
        <f t="shared" si="1032"/>
        <v>0</v>
      </c>
      <c r="AA997" s="90">
        <v>0</v>
      </c>
      <c r="AB997" s="90">
        <v>77</v>
      </c>
      <c r="AC997" s="216" t="s">
        <v>74</v>
      </c>
      <c r="AH997" s="241"/>
      <c r="AI997" s="242"/>
      <c r="AJ997" s="242"/>
    </row>
    <row r="998" spans="1:36">
      <c r="A998" s="10" t="s">
        <v>20</v>
      </c>
      <c r="J998" s="197">
        <f t="shared" si="1035"/>
        <v>240195.30608888413</v>
      </c>
      <c r="K998" s="197">
        <f t="shared" si="1035"/>
        <v>375208.78329629748</v>
      </c>
      <c r="L998" s="197">
        <f t="shared" si="1035"/>
        <v>12717.53011422129</v>
      </c>
      <c r="M998" s="197">
        <f t="shared" si="1035"/>
        <v>676182.57200605981</v>
      </c>
      <c r="N998" s="197">
        <f t="shared" si="1035"/>
        <v>3382.8617945614801</v>
      </c>
      <c r="O998" s="197"/>
      <c r="P998" s="212">
        <f>SUM(J998:N998)</f>
        <v>1307687.0533000242</v>
      </c>
      <c r="Q998" s="198"/>
      <c r="R998" s="211">
        <f>J998*J1010/1000000</f>
        <v>22.164625288962036</v>
      </c>
      <c r="S998" s="211">
        <f>K998*K1010/1000000</f>
        <v>20.861052125009241</v>
      </c>
      <c r="T998" s="211">
        <f>L998*L1010/1000000</f>
        <v>2.3136421673474925</v>
      </c>
      <c r="U998" s="211">
        <f>M998*M1010/1000000</f>
        <v>52.181656522015579</v>
      </c>
      <c r="V998" s="211">
        <f>N998*N1010/1000000</f>
        <v>9.3349038138027904E-2</v>
      </c>
      <c r="W998" s="211"/>
      <c r="X998" s="220">
        <f t="shared" si="1034"/>
        <v>97.614325141472392</v>
      </c>
      <c r="Z998" s="199">
        <f t="shared" si="1032"/>
        <v>0</v>
      </c>
      <c r="AA998" s="90">
        <v>0</v>
      </c>
      <c r="AB998" s="90">
        <v>73.3</v>
      </c>
      <c r="AC998" s="216" t="s">
        <v>75</v>
      </c>
      <c r="AH998" s="241"/>
      <c r="AI998" s="242"/>
      <c r="AJ998" s="242"/>
    </row>
    <row r="999" spans="1:36">
      <c r="A999" s="10" t="s">
        <v>21</v>
      </c>
      <c r="J999" s="197">
        <f t="shared" si="1035"/>
        <v>0</v>
      </c>
      <c r="K999" s="197">
        <f t="shared" si="1035"/>
        <v>56534.072224970863</v>
      </c>
      <c r="L999" s="197">
        <f t="shared" si="1035"/>
        <v>0</v>
      </c>
      <c r="M999" s="197">
        <f t="shared" si="1035"/>
        <v>0</v>
      </c>
      <c r="N999" s="197">
        <f t="shared" si="1035"/>
        <v>0</v>
      </c>
      <c r="O999" s="197"/>
      <c r="P999" s="212">
        <f>SUM(J999:N999)</f>
        <v>56534.072224970863</v>
      </c>
      <c r="Q999" s="198"/>
      <c r="R999" s="211">
        <f>J999*J1010/1000000</f>
        <v>0</v>
      </c>
      <c r="S999" s="211">
        <f>K999*K1010/1000000</f>
        <v>3.1432106070737396</v>
      </c>
      <c r="T999" s="211">
        <f>L999*L1010/1000000</f>
        <v>0</v>
      </c>
      <c r="U999" s="211">
        <f>M999*M1010/1000000</f>
        <v>0</v>
      </c>
      <c r="V999" s="211">
        <f>N999*N1010/1000000</f>
        <v>0</v>
      </c>
      <c r="W999" s="211"/>
      <c r="X999" s="220">
        <f t="shared" si="1034"/>
        <v>3.1432106070737396</v>
      </c>
      <c r="Z999" s="199"/>
      <c r="AA999" s="220" t="s">
        <v>239</v>
      </c>
      <c r="AB999" s="90"/>
      <c r="AH999" s="241"/>
      <c r="AI999" s="242"/>
      <c r="AJ999" s="242"/>
    </row>
    <row r="1000" spans="1:36">
      <c r="A1000" s="10" t="s">
        <v>23</v>
      </c>
      <c r="J1000" s="197">
        <f t="shared" si="1035"/>
        <v>0</v>
      </c>
      <c r="K1000" s="197">
        <f t="shared" si="1035"/>
        <v>0</v>
      </c>
      <c r="L1000" s="197">
        <f t="shared" si="1035"/>
        <v>0</v>
      </c>
      <c r="M1000" s="197">
        <f t="shared" si="1035"/>
        <v>0</v>
      </c>
      <c r="N1000" s="197">
        <f t="shared" si="1035"/>
        <v>0</v>
      </c>
      <c r="O1000" s="197"/>
      <c r="P1000" s="212"/>
      <c r="Q1000" s="198"/>
      <c r="R1000" s="211">
        <f>J1000*J1010/1000000</f>
        <v>0</v>
      </c>
      <c r="S1000" s="211">
        <f>K1000*K1010/1000000</f>
        <v>0</v>
      </c>
      <c r="T1000" s="211">
        <f>L1000*L1010/1000000</f>
        <v>0</v>
      </c>
      <c r="U1000" s="211">
        <f>M1000*M1010/1000000</f>
        <v>0</v>
      </c>
      <c r="V1000" s="211">
        <f>N1000*N1010/1000000</f>
        <v>0</v>
      </c>
      <c r="W1000" s="211"/>
      <c r="X1000" s="220">
        <f t="shared" si="1034"/>
        <v>0</v>
      </c>
      <c r="Z1000" s="199">
        <f t="shared" ref="Z1000:Z1016" si="1036">AA1000*AB1000</f>
        <v>0</v>
      </c>
      <c r="AA1000" s="232">
        <v>0</v>
      </c>
      <c r="AB1000" s="90">
        <v>0</v>
      </c>
      <c r="AC1000" s="217" t="s">
        <v>242</v>
      </c>
      <c r="AH1000" s="241"/>
      <c r="AI1000" s="242"/>
      <c r="AJ1000" s="242"/>
    </row>
    <row r="1001" spans="1:36">
      <c r="A1001" s="11" t="s">
        <v>24</v>
      </c>
      <c r="J1001" s="209">
        <f>SUM(J1002:J1006)</f>
        <v>2377.8375911159897</v>
      </c>
      <c r="K1001" s="209">
        <f>SUM(K1002:K1006)</f>
        <v>310640.15799391025</v>
      </c>
      <c r="L1001" s="209">
        <f>SUM(L1002:L1006)</f>
        <v>20695.784715524162</v>
      </c>
      <c r="M1001" s="209">
        <f>SUM(M1002:M1006)</f>
        <v>100944.15394579445</v>
      </c>
      <c r="N1001" s="209">
        <f>SUM(N1002:N1006)</f>
        <v>12447.800295622428</v>
      </c>
      <c r="O1001" s="209"/>
      <c r="P1001" s="212">
        <f>SUM(J1001:O1001)</f>
        <v>447105.73454196728</v>
      </c>
      <c r="Q1001" s="198"/>
      <c r="R1001" s="209">
        <f>SUM(R1002:R1006)</f>
        <v>0.21942093733335072</v>
      </c>
      <c r="S1001" s="209">
        <f>SUM(S1002:S1006)</f>
        <v>17.271132277611624</v>
      </c>
      <c r="T1001" s="209">
        <f>SUM(T1002:T1006)</f>
        <v>3.7650895869031986</v>
      </c>
      <c r="U1001" s="209">
        <f>SUM(U1002:U1006)</f>
        <v>7.7899570133518665</v>
      </c>
      <c r="V1001" s="209">
        <f>SUM(V1002:V1006)</f>
        <v>0.34349324775806922</v>
      </c>
      <c r="W1001" s="209"/>
      <c r="X1001" s="220">
        <f t="shared" si="1034"/>
        <v>29.389093062958107</v>
      </c>
      <c r="Z1001" s="199">
        <f t="shared" si="1036"/>
        <v>0</v>
      </c>
      <c r="AA1001" s="232">
        <v>0</v>
      </c>
      <c r="AB1001" s="90">
        <v>0</v>
      </c>
      <c r="AC1001" s="217" t="s">
        <v>219</v>
      </c>
      <c r="AH1001" s="241"/>
      <c r="AI1001" s="242"/>
      <c r="AJ1001" s="242"/>
    </row>
    <row r="1002" spans="1:36">
      <c r="A1002" s="10" t="s">
        <v>25</v>
      </c>
      <c r="J1002" s="197">
        <f t="shared" ref="J1002:N1006" si="1037">IFERROR(J985*R985,"")</f>
        <v>0</v>
      </c>
      <c r="K1002" s="197">
        <f t="shared" si="1037"/>
        <v>6704.4350073389996</v>
      </c>
      <c r="L1002" s="197">
        <f t="shared" si="1037"/>
        <v>592.57860771464811</v>
      </c>
      <c r="M1002" s="197">
        <f t="shared" si="1037"/>
        <v>870.59245015451427</v>
      </c>
      <c r="N1002" s="197">
        <f t="shared" si="1037"/>
        <v>74.081147278749086</v>
      </c>
      <c r="O1002" s="197"/>
      <c r="P1002" s="212">
        <f>SUM(J1002:N1002)</f>
        <v>8241.6872124869114</v>
      </c>
      <c r="Q1002" s="198"/>
      <c r="R1002" s="211">
        <f>J1002*J1010/1000000</f>
        <v>0</v>
      </c>
      <c r="S1002" s="211">
        <f>K1002*K1010/1000000</f>
        <v>0.37275664745403558</v>
      </c>
      <c r="T1002" s="211">
        <f>L1002*L1010/1000000</f>
        <v>0.10780511954467874</v>
      </c>
      <c r="U1002" s="211">
        <f>M1002*M1010/1000000</f>
        <v>6.7184452964894975E-2</v>
      </c>
      <c r="V1002" s="211">
        <f>N1002*N1010/1000000</f>
        <v>2.0442466357184579E-3</v>
      </c>
      <c r="W1002" s="211"/>
      <c r="X1002" s="220">
        <f t="shared" si="1034"/>
        <v>0.54979046659932773</v>
      </c>
      <c r="Z1002" s="199">
        <f t="shared" si="1036"/>
        <v>0</v>
      </c>
      <c r="AA1002" s="232">
        <v>0</v>
      </c>
      <c r="AB1002" s="90">
        <v>0</v>
      </c>
      <c r="AC1002" s="217" t="s">
        <v>222</v>
      </c>
      <c r="AH1002" s="241"/>
      <c r="AI1002" s="242"/>
      <c r="AJ1002" s="242"/>
    </row>
    <row r="1003" spans="1:36">
      <c r="A1003" s="10" t="s">
        <v>26</v>
      </c>
      <c r="J1003" s="197">
        <f t="shared" si="1037"/>
        <v>0</v>
      </c>
      <c r="K1003" s="197">
        <f t="shared" si="1037"/>
        <v>28163.652240628649</v>
      </c>
      <c r="L1003" s="197">
        <f t="shared" si="1037"/>
        <v>0</v>
      </c>
      <c r="M1003" s="197">
        <f t="shared" si="1037"/>
        <v>2668.2155014672476</v>
      </c>
      <c r="N1003" s="197">
        <f t="shared" si="1037"/>
        <v>66.710428993890645</v>
      </c>
      <c r="O1003" s="197"/>
      <c r="P1003" s="212">
        <f>SUM(J1003:N1003)</f>
        <v>30898.578171089786</v>
      </c>
      <c r="Q1003" s="198"/>
      <c r="R1003" s="211">
        <f>J1003*J1010/1000000</f>
        <v>0</v>
      </c>
      <c r="S1003" s="211">
        <f>K1003*K1010/1000000</f>
        <v>1.5658573135225038</v>
      </c>
      <c r="T1003" s="211">
        <f>L1003*L1010/1000000</f>
        <v>0</v>
      </c>
      <c r="U1003" s="211">
        <f>M1003*M1010/1000000</f>
        <v>0.20590874504679441</v>
      </c>
      <c r="V1003" s="211">
        <f>N1003*N1010/1000000</f>
        <v>1.8408539155712539E-3</v>
      </c>
      <c r="W1003" s="211"/>
      <c r="X1003" s="220">
        <f t="shared" si="1034"/>
        <v>1.7736069124848695</v>
      </c>
      <c r="Z1003" s="199">
        <f t="shared" si="1036"/>
        <v>0</v>
      </c>
      <c r="AA1003" s="232">
        <v>0</v>
      </c>
      <c r="AB1003" s="90">
        <v>0</v>
      </c>
      <c r="AC1003" s="217" t="s">
        <v>223</v>
      </c>
      <c r="AH1003" s="216"/>
    </row>
    <row r="1004" spans="1:36">
      <c r="A1004" s="10" t="s">
        <v>27</v>
      </c>
      <c r="J1004" s="197">
        <f t="shared" si="1037"/>
        <v>0</v>
      </c>
      <c r="K1004" s="197">
        <f t="shared" si="1037"/>
        <v>219596.91901899257</v>
      </c>
      <c r="L1004" s="197">
        <f t="shared" si="1037"/>
        <v>17197.009699313181</v>
      </c>
      <c r="M1004" s="197">
        <f t="shared" si="1037"/>
        <v>36677.311889519406</v>
      </c>
      <c r="N1004" s="197">
        <f t="shared" si="1037"/>
        <v>7600.8647411240963</v>
      </c>
      <c r="O1004" s="197"/>
      <c r="P1004" s="212">
        <f>SUM(J1004:N1004)</f>
        <v>281072.10534894926</v>
      </c>
      <c r="Q1004" s="198"/>
      <c r="R1004" s="211">
        <f>J1004*J1010/1000000</f>
        <v>0</v>
      </c>
      <c r="S1004" s="211">
        <f>K1004*K1010/1000000</f>
        <v>12.20926315717152</v>
      </c>
      <c r="T1004" s="211">
        <f>L1004*L1010/1000000</f>
        <v>3.1285734285875564</v>
      </c>
      <c r="U1004" s="211">
        <f>M1004*M1010/1000000</f>
        <v>2.8304232767960009</v>
      </c>
      <c r="V1004" s="211">
        <f>N1004*N1010/1000000</f>
        <v>0.20974354132405862</v>
      </c>
      <c r="W1004" s="211"/>
      <c r="X1004" s="220">
        <f t="shared" si="1034"/>
        <v>18.378003403879134</v>
      </c>
      <c r="Z1004" s="199">
        <f t="shared" si="1036"/>
        <v>79145.849085976733</v>
      </c>
      <c r="AA1004" s="90">
        <v>806.39151619375173</v>
      </c>
      <c r="AB1004" s="90">
        <v>98.148166860128967</v>
      </c>
      <c r="AC1004" s="217" t="s">
        <v>236</v>
      </c>
      <c r="AH1004" s="223"/>
    </row>
    <row r="1005" spans="1:36">
      <c r="A1005" s="10" t="s">
        <v>28</v>
      </c>
      <c r="J1005" s="197">
        <f t="shared" si="1037"/>
        <v>2377.8375911159897</v>
      </c>
      <c r="K1005" s="197">
        <f t="shared" si="1037"/>
        <v>15100.732204755266</v>
      </c>
      <c r="L1005" s="197">
        <f t="shared" si="1037"/>
        <v>0</v>
      </c>
      <c r="M1005" s="197">
        <f t="shared" si="1037"/>
        <v>9545.6126963351089</v>
      </c>
      <c r="N1005" s="197">
        <f t="shared" si="1037"/>
        <v>1559.4618322084498</v>
      </c>
      <c r="O1005" s="197"/>
      <c r="P1005" s="212">
        <f>SUM(J1005:N1005)</f>
        <v>28583.644324414814</v>
      </c>
      <c r="Q1005" s="198"/>
      <c r="R1005" s="211">
        <f>J1005*J1010/1000000</f>
        <v>0.21942093733335072</v>
      </c>
      <c r="S1005" s="211">
        <f>K1005*K1010/1000000</f>
        <v>0.83957832458426329</v>
      </c>
      <c r="T1005" s="211">
        <f>L1005*L1010/1000000</f>
        <v>0</v>
      </c>
      <c r="U1005" s="211">
        <f>M1005*M1010/1000000</f>
        <v>0.73664407163674384</v>
      </c>
      <c r="V1005" s="211">
        <f>N1005*N1010/1000000</f>
        <v>4.3032873020015357E-2</v>
      </c>
      <c r="W1005" s="211"/>
      <c r="X1005" s="220">
        <f t="shared" si="1034"/>
        <v>1.8386762065743734</v>
      </c>
      <c r="Z1005" s="199">
        <f t="shared" si="1036"/>
        <v>0</v>
      </c>
      <c r="AA1005" s="232">
        <v>0</v>
      </c>
      <c r="AB1005" s="90">
        <v>0</v>
      </c>
      <c r="AC1005" s="216" t="s">
        <v>224</v>
      </c>
      <c r="AH1005" s="239"/>
    </row>
    <row r="1006" spans="1:36">
      <c r="A1006" s="10" t="s">
        <v>29</v>
      </c>
      <c r="J1006" s="197">
        <f t="shared" si="1037"/>
        <v>0</v>
      </c>
      <c r="K1006" s="197">
        <f t="shared" si="1037"/>
        <v>41074.419522194781</v>
      </c>
      <c r="L1006" s="197">
        <f t="shared" si="1037"/>
        <v>2906.1964084963311</v>
      </c>
      <c r="M1006" s="197">
        <f t="shared" si="1037"/>
        <v>51182.421408318172</v>
      </c>
      <c r="N1006" s="197">
        <f t="shared" si="1037"/>
        <v>3146.6821460172409</v>
      </c>
      <c r="O1006" s="197"/>
      <c r="P1006" s="212">
        <f>SUM(J1006:N1006)</f>
        <v>98309.719485026522</v>
      </c>
      <c r="Q1006" s="198"/>
      <c r="R1006" s="211">
        <f>J1006*J1010/1000000</f>
        <v>0</v>
      </c>
      <c r="S1006" s="211">
        <f>K1006*K1010/1000000</f>
        <v>2.283676834879302</v>
      </c>
      <c r="T1006" s="211">
        <f>L1006*L1010/1000000</f>
        <v>0.5287110387709637</v>
      </c>
      <c r="U1006" s="211">
        <f>M1006*M1010/1000000</f>
        <v>3.9497964669074328</v>
      </c>
      <c r="V1006" s="211">
        <f>N1006*N1010/1000000</f>
        <v>8.6831732862705485E-2</v>
      </c>
      <c r="W1006" s="211"/>
      <c r="X1006" s="220">
        <f t="shared" si="1034"/>
        <v>6.8490160734204046</v>
      </c>
      <c r="Z1006" s="199">
        <f t="shared" si="1036"/>
        <v>0</v>
      </c>
      <c r="AA1006" s="232">
        <v>0</v>
      </c>
      <c r="AB1006" s="90">
        <v>0</v>
      </c>
      <c r="AC1006" s="216" t="s">
        <v>225</v>
      </c>
      <c r="AH1006" s="239"/>
    </row>
    <row r="1007" spans="1:36">
      <c r="A1007" s="11" t="s">
        <v>10</v>
      </c>
      <c r="J1007" s="212">
        <f>J995+J1001</f>
        <v>242573.14368000012</v>
      </c>
      <c r="K1007" s="212">
        <f>K995+K1001</f>
        <v>875786.03171999916</v>
      </c>
      <c r="L1007" s="212">
        <f>L995+L1001</f>
        <v>35017.976520000011</v>
      </c>
      <c r="M1007" s="212">
        <f>M995+M1001</f>
        <v>793431.86771445919</v>
      </c>
      <c r="N1007" s="212">
        <f>N995+N1001</f>
        <v>18320.980365541487</v>
      </c>
      <c r="O1007" s="212"/>
      <c r="P1007" s="212">
        <f>P995+P1001</f>
        <v>1965130</v>
      </c>
      <c r="R1007" s="229">
        <f>R995+R1001</f>
        <v>22.384046226295386</v>
      </c>
      <c r="S1007" s="229">
        <f>S995+S1001</f>
        <v>48.692405059287921</v>
      </c>
      <c r="T1007" s="229">
        <f>T995+T1001</f>
        <v>6.3706605263908447</v>
      </c>
      <c r="U1007" s="229">
        <f>U995+U1001</f>
        <v>61.229896937252285</v>
      </c>
      <c r="V1007" s="229">
        <f>V995+V1001</f>
        <v>0.50556185819311361</v>
      </c>
      <c r="W1007" s="229"/>
      <c r="X1007" s="254">
        <f>X995+X1001</f>
        <v>139.18257060741954</v>
      </c>
      <c r="Z1007" s="199">
        <f t="shared" si="1036"/>
        <v>0</v>
      </c>
      <c r="AA1007" s="232">
        <v>0</v>
      </c>
      <c r="AB1007" s="90">
        <v>0</v>
      </c>
      <c r="AC1007" s="216" t="s">
        <v>148</v>
      </c>
      <c r="AH1007" s="239"/>
    </row>
    <row r="1008" spans="1:36">
      <c r="E1008" t="s">
        <v>200</v>
      </c>
      <c r="J1008" s="244">
        <f>J1007/41.868</f>
        <v>5793.7600000000029</v>
      </c>
      <c r="K1008" s="244">
        <f>K1007/41.868</f>
        <v>20917.789999999979</v>
      </c>
      <c r="L1008" s="244">
        <f>L1007/41.868</f>
        <v>836.39000000000021</v>
      </c>
      <c r="M1008" s="244">
        <f>M1007/41.868</f>
        <v>18950.794585708874</v>
      </c>
      <c r="N1008" s="244">
        <f>N1007/41.868</f>
        <v>437.58909825025046</v>
      </c>
      <c r="O1008" s="198"/>
      <c r="P1008" s="245">
        <f>P1007/41.868</f>
        <v>46936.323683959105</v>
      </c>
      <c r="R1008" s="227">
        <f>'9'!L6</f>
        <v>22.384032967862424</v>
      </c>
      <c r="S1008" s="227">
        <f>'9'!L7</f>
        <v>49.269990969722116</v>
      </c>
      <c r="T1008" s="227">
        <f>'9'!L8</f>
        <v>6.370664798</v>
      </c>
      <c r="U1008" s="227">
        <f>'9'!L9</f>
        <v>61.229907145854121</v>
      </c>
      <c r="V1008" s="227">
        <f>'9'!L10</f>
        <v>0.45924745654825144</v>
      </c>
      <c r="W1008" s="227"/>
      <c r="X1008" s="228">
        <f>'9'!L11</f>
        <v>139.7138433379869</v>
      </c>
      <c r="Z1008" s="199">
        <f t="shared" si="1036"/>
        <v>0</v>
      </c>
      <c r="AA1008" s="232">
        <v>0</v>
      </c>
      <c r="AB1008" s="90">
        <v>0</v>
      </c>
      <c r="AC1008" s="216" t="s">
        <v>142</v>
      </c>
      <c r="AH1008" s="216"/>
    </row>
    <row r="1009" spans="10:34">
      <c r="J1009" s="213" t="s">
        <v>217</v>
      </c>
      <c r="R1009" s="198">
        <f>R1007-R1008</f>
        <v>1.325843296129392E-5</v>
      </c>
      <c r="S1009" s="198">
        <f>S1007-S1008</f>
        <v>-0.57758591043419472</v>
      </c>
      <c r="T1009" s="198">
        <f>T1007-T1008</f>
        <v>-4.271609155281908E-6</v>
      </c>
      <c r="U1009" s="253">
        <f>U1007-U1008</f>
        <v>-1.0208601835870468E-5</v>
      </c>
      <c r="V1009" s="253">
        <f>V1007-V1008</f>
        <v>4.6314401644862169E-2</v>
      </c>
      <c r="X1009" s="202">
        <f>X1007-X1008</f>
        <v>-0.53127273056736612</v>
      </c>
      <c r="Z1009" s="199">
        <f t="shared" si="1036"/>
        <v>0</v>
      </c>
      <c r="AA1009" s="232">
        <v>0</v>
      </c>
      <c r="AB1009" s="90">
        <v>0</v>
      </c>
      <c r="AC1009" s="216" t="s">
        <v>145</v>
      </c>
      <c r="AH1009" s="216"/>
    </row>
    <row r="1010" spans="10:34">
      <c r="J1010" s="198">
        <f>SUM(Z978:Z981)/SUM(AA978:AA981)</f>
        <v>92.277512204006314</v>
      </c>
      <c r="K1010" s="215">
        <f>AB983</f>
        <v>55.59851755531944</v>
      </c>
      <c r="L1010" s="177">
        <f>SUM(Z985:Z988)/SUM(AA985:AA988)</f>
        <v>181.92543257753155</v>
      </c>
      <c r="M1010" s="198">
        <f>SUM(Z990:Z1004)/SUM(AA990:AA1004)</f>
        <v>77.170957493337966</v>
      </c>
      <c r="N1010" s="198">
        <f>SUM(Z1005:Z1028)/SUM(AA1005:AA1028)</f>
        <v>27.594694612739485</v>
      </c>
      <c r="O1010" s="198"/>
      <c r="Z1010" s="199">
        <f t="shared" si="1036"/>
        <v>0</v>
      </c>
      <c r="AA1010" s="232">
        <v>0</v>
      </c>
      <c r="AB1010" s="90">
        <v>0</v>
      </c>
      <c r="AC1010" s="216" t="s">
        <v>143</v>
      </c>
      <c r="AH1010" s="223"/>
    </row>
    <row r="1011" spans="10:34">
      <c r="J1011" s="207"/>
      <c r="K1011" s="207"/>
      <c r="L1011" s="207"/>
      <c r="M1011" s="207"/>
      <c r="N1011" s="207"/>
      <c r="R1011" s="207"/>
      <c r="S1011" s="202"/>
      <c r="T1011" s="202"/>
      <c r="U1011" s="202"/>
      <c r="V1011" s="202"/>
      <c r="W1011" s="202"/>
      <c r="X1011" s="202"/>
      <c r="Z1011" s="199">
        <f t="shared" si="1036"/>
        <v>0</v>
      </c>
      <c r="AA1011" s="90">
        <v>105.68930925766695</v>
      </c>
      <c r="AB1011" s="90">
        <v>0</v>
      </c>
      <c r="AC1011" s="216" t="s">
        <v>231</v>
      </c>
      <c r="AH1011" s="216"/>
    </row>
    <row r="1012" spans="10:34">
      <c r="J1012" s="248">
        <f>SUM(AA978:AA981)</f>
        <v>5793.7565682621571</v>
      </c>
      <c r="K1012" s="248">
        <f>AA983</f>
        <v>20917.789242380815</v>
      </c>
      <c r="L1012" s="248">
        <f>SUM(AA985:AA988)</f>
        <v>836.3905608101652</v>
      </c>
      <c r="M1012" s="248">
        <f>SUM(AA990:AA998)</f>
        <v>18144.406229100983</v>
      </c>
      <c r="N1012" s="248">
        <f>SUM(AA1000:AA1028)</f>
        <v>1243.9810834049872</v>
      </c>
      <c r="P1012" s="246">
        <f>SUM(J1012:N1012)</f>
        <v>46936.323683959112</v>
      </c>
      <c r="R1012" s="207"/>
      <c r="U1012" s="252"/>
      <c r="Z1012" s="199">
        <f t="shared" si="1036"/>
        <v>0</v>
      </c>
      <c r="AA1012" s="232">
        <v>0</v>
      </c>
      <c r="AB1012" s="90">
        <v>0</v>
      </c>
      <c r="AC1012" s="219" t="s">
        <v>144</v>
      </c>
      <c r="AH1012" s="216"/>
    </row>
    <row r="1013" spans="10:34">
      <c r="J1013" s="198">
        <f>J1008-J1012</f>
        <v>3.4317378458581516E-3</v>
      </c>
      <c r="K1013" s="198">
        <f>K1008-K1012</f>
        <v>7.5761916377814487E-4</v>
      </c>
      <c r="L1013" s="198">
        <f>L1008-L1012</f>
        <v>-5.6081016498410463E-4</v>
      </c>
      <c r="M1013" s="198">
        <f>M1008-M1012</f>
        <v>806.38835660789118</v>
      </c>
      <c r="N1013" s="198">
        <f>N1008-N1012</f>
        <v>-806.39198515473674</v>
      </c>
      <c r="P1013" s="198">
        <f>P1008-P1012</f>
        <v>0</v>
      </c>
      <c r="R1013" s="207"/>
      <c r="Z1013" s="199">
        <f t="shared" si="1036"/>
        <v>0</v>
      </c>
      <c r="AA1013" s="232">
        <v>0</v>
      </c>
      <c r="AB1013" s="90">
        <v>0</v>
      </c>
      <c r="AC1013" s="216" t="s">
        <v>146</v>
      </c>
      <c r="AH1013" s="216"/>
    </row>
    <row r="1014" spans="10:34">
      <c r="Z1014" s="199">
        <f t="shared" si="1036"/>
        <v>4207.8914684245728</v>
      </c>
      <c r="AA1014" s="90">
        <v>29.4258144645075</v>
      </c>
      <c r="AB1014" s="90">
        <v>143</v>
      </c>
      <c r="AC1014" s="216" t="s">
        <v>147</v>
      </c>
      <c r="AH1014" s="216"/>
    </row>
    <row r="1015" spans="10:34">
      <c r="Z1015" s="199">
        <f t="shared" si="1036"/>
        <v>7867.2590044903027</v>
      </c>
      <c r="AA1015" s="90">
        <v>171.58689213719308</v>
      </c>
      <c r="AB1015" s="90">
        <v>45.85</v>
      </c>
      <c r="AC1015" s="216" t="s">
        <v>232</v>
      </c>
      <c r="AH1015" s="216"/>
    </row>
    <row r="1016" spans="10:34">
      <c r="R1016" s="221" t="s">
        <v>247</v>
      </c>
      <c r="S1016" s="195"/>
      <c r="T1016" s="195"/>
      <c r="U1016" s="195"/>
      <c r="V1016" s="195"/>
      <c r="W1016" s="195"/>
      <c r="X1016" s="195"/>
      <c r="Z1016" s="199">
        <f t="shared" si="1036"/>
        <v>0</v>
      </c>
      <c r="AA1016" s="90">
        <v>0</v>
      </c>
      <c r="AB1016" s="90">
        <v>45.85</v>
      </c>
      <c r="AC1016" s="216" t="s">
        <v>233</v>
      </c>
      <c r="AH1016" s="216"/>
    </row>
    <row r="1017" spans="10:34">
      <c r="R1017" s="221" t="s">
        <v>5</v>
      </c>
      <c r="S1017" s="221" t="s">
        <v>210</v>
      </c>
      <c r="T1017" s="221" t="s">
        <v>211</v>
      </c>
      <c r="U1017" s="221" t="s">
        <v>214</v>
      </c>
      <c r="V1017" s="221" t="s">
        <v>246</v>
      </c>
      <c r="W1017" s="221"/>
      <c r="X1017" s="221" t="s">
        <v>213</v>
      </c>
      <c r="AA1017" s="220">
        <v>0</v>
      </c>
      <c r="AB1017" s="90"/>
      <c r="AH1017" s="216"/>
    </row>
    <row r="1018" spans="10:34">
      <c r="P1018" s="223" t="s">
        <v>17</v>
      </c>
      <c r="R1018" s="222">
        <f t="shared" ref="R1018:R1029" si="1038">IFERROR(R995/J978*1000000,0)</f>
        <v>861.01961708790736</v>
      </c>
      <c r="S1018" s="222">
        <f t="shared" ref="S1018:S1029" si="1039">IFERROR(S995/K978*1000000,0)</f>
        <v>521.13724061197058</v>
      </c>
      <c r="T1018" s="222">
        <f t="shared" ref="T1018:T1029" si="1040">IFERROR(T995/L978*1000000,0)</f>
        <v>1697.550941095606</v>
      </c>
      <c r="U1018" s="222">
        <f t="shared" ref="U1018:U1029" si="1041">IFERROR(U995/M978*1000000,0)</f>
        <v>731.3106393761467</v>
      </c>
      <c r="V1018" s="222">
        <f t="shared" ref="V1018:V1029" si="1042">IFERROR(V995/N978*1000000,0)</f>
        <v>415.79664863935699</v>
      </c>
      <c r="W1018" s="222"/>
      <c r="X1018" s="222">
        <f t="shared" ref="X1018:X1029" si="1043">IFERROR(X995/P978*1000000,0)</f>
        <v>681.7995223436036</v>
      </c>
      <c r="Z1018" s="199">
        <f>AA1018*AB1018</f>
        <v>0</v>
      </c>
      <c r="AA1018" s="232">
        <v>0</v>
      </c>
      <c r="AB1018" s="90">
        <v>0</v>
      </c>
      <c r="AC1018" s="217" t="s">
        <v>221</v>
      </c>
      <c r="AH1018" s="216"/>
    </row>
    <row r="1019" spans="10:34">
      <c r="P1019" s="216" t="s">
        <v>18</v>
      </c>
      <c r="R1019" s="230">
        <f t="shared" si="1038"/>
        <v>0</v>
      </c>
      <c r="S1019" s="230">
        <f t="shared" si="1039"/>
        <v>632.60319184934781</v>
      </c>
      <c r="T1019" s="230">
        <f t="shared" si="1040"/>
        <v>0</v>
      </c>
      <c r="U1019" s="230">
        <f t="shared" si="1041"/>
        <v>797.8687058971442</v>
      </c>
      <c r="V1019" s="230">
        <f t="shared" si="1042"/>
        <v>300.89388529575194</v>
      </c>
      <c r="W1019" s="230"/>
      <c r="X1019" s="222">
        <f t="shared" si="1043"/>
        <v>593.66404771180669</v>
      </c>
      <c r="Z1019" s="199">
        <f>AA1019*AB1019</f>
        <v>0</v>
      </c>
      <c r="AA1019" s="90">
        <v>130.88755135186776</v>
      </c>
      <c r="AB1019" s="90">
        <v>0</v>
      </c>
      <c r="AC1019" s="216" t="s">
        <v>226</v>
      </c>
      <c r="AH1019" s="216"/>
    </row>
    <row r="1020" spans="10:34">
      <c r="P1020" s="216" t="s">
        <v>19</v>
      </c>
      <c r="R1020" s="230">
        <f t="shared" si="1038"/>
        <v>0</v>
      </c>
      <c r="S1020" s="230">
        <f t="shared" si="1039"/>
        <v>621.39565498587501</v>
      </c>
      <c r="T1020" s="230">
        <f t="shared" si="1040"/>
        <v>4212.5363945188037</v>
      </c>
      <c r="U1020" s="230">
        <f t="shared" si="1041"/>
        <v>964.28132169854848</v>
      </c>
      <c r="V1020" s="230">
        <f t="shared" si="1042"/>
        <v>393.19178174244337</v>
      </c>
      <c r="W1020" s="230"/>
      <c r="X1020" s="222">
        <f t="shared" si="1043"/>
        <v>669.94992516966681</v>
      </c>
      <c r="Z1020" s="199">
        <f t="shared" ref="Z1020:Z1028" si="1044">AA1020*AB1020</f>
        <v>0</v>
      </c>
      <c r="AA1020" s="90">
        <v>0</v>
      </c>
      <c r="AB1020" s="90">
        <v>0</v>
      </c>
      <c r="AC1020" s="216" t="s">
        <v>227</v>
      </c>
      <c r="AH1020" s="216"/>
    </row>
    <row r="1021" spans="10:34">
      <c r="P1021" s="216" t="s">
        <v>20</v>
      </c>
      <c r="R1021" s="230">
        <f t="shared" si="1038"/>
        <v>861.01961708790736</v>
      </c>
      <c r="S1021" s="230">
        <f t="shared" si="1039"/>
        <v>506.08255347947812</v>
      </c>
      <c r="T1021" s="230">
        <f t="shared" si="1040"/>
        <v>1578.6313914761822</v>
      </c>
      <c r="U1021" s="230">
        <f t="shared" si="1041"/>
        <v>727.52599549968181</v>
      </c>
      <c r="V1021" s="230">
        <f t="shared" si="1042"/>
        <v>570.93037579134705</v>
      </c>
      <c r="W1021" s="230"/>
      <c r="X1021" s="222">
        <f t="shared" si="1043"/>
        <v>695.67070786053671</v>
      </c>
      <c r="Z1021" s="199">
        <f t="shared" si="1044"/>
        <v>0</v>
      </c>
      <c r="AA1021" s="90">
        <v>0</v>
      </c>
      <c r="AB1021" s="90">
        <v>0</v>
      </c>
      <c r="AC1021" s="216" t="s">
        <v>150</v>
      </c>
      <c r="AH1021" s="216"/>
    </row>
    <row r="1022" spans="10:34">
      <c r="P1022" s="216" t="s">
        <v>21</v>
      </c>
      <c r="R1022" s="230">
        <f t="shared" si="1038"/>
        <v>0</v>
      </c>
      <c r="S1022" s="230">
        <f t="shared" si="1039"/>
        <v>440.08261417236122</v>
      </c>
      <c r="T1022" s="230">
        <f t="shared" si="1040"/>
        <v>0</v>
      </c>
      <c r="U1022" s="230">
        <f t="shared" si="1041"/>
        <v>0</v>
      </c>
      <c r="V1022" s="230">
        <f t="shared" si="1042"/>
        <v>0</v>
      </c>
      <c r="W1022" s="230"/>
      <c r="X1022" s="222">
        <f t="shared" si="1043"/>
        <v>440.08261417236122</v>
      </c>
      <c r="Z1022" s="199">
        <f t="shared" si="1044"/>
        <v>0</v>
      </c>
      <c r="AA1022" s="90">
        <v>0</v>
      </c>
      <c r="AB1022" s="90">
        <v>0</v>
      </c>
      <c r="AC1022" s="216" t="s">
        <v>151</v>
      </c>
      <c r="AH1022" s="216"/>
    </row>
    <row r="1023" spans="10:34">
      <c r="P1023" s="216" t="s">
        <v>23</v>
      </c>
      <c r="R1023" s="230">
        <f t="shared" si="1038"/>
        <v>0</v>
      </c>
      <c r="S1023" s="230">
        <f t="shared" si="1039"/>
        <v>0</v>
      </c>
      <c r="T1023" s="230">
        <f t="shared" si="1040"/>
        <v>0</v>
      </c>
      <c r="U1023" s="230">
        <f t="shared" si="1041"/>
        <v>0</v>
      </c>
      <c r="V1023" s="230">
        <f t="shared" si="1042"/>
        <v>0</v>
      </c>
      <c r="W1023" s="230"/>
      <c r="X1023" s="222">
        <f t="shared" si="1043"/>
        <v>0</v>
      </c>
      <c r="Z1023" s="199">
        <f t="shared" si="1044"/>
        <v>0</v>
      </c>
      <c r="AA1023" s="90">
        <v>0</v>
      </c>
      <c r="AB1023" s="90">
        <v>0</v>
      </c>
      <c r="AC1023" s="218" t="s">
        <v>153</v>
      </c>
      <c r="AH1023" s="216"/>
    </row>
    <row r="1024" spans="10:34">
      <c r="P1024" s="223" t="s">
        <v>24</v>
      </c>
      <c r="R1024" s="222">
        <f t="shared" si="1038"/>
        <v>414.23624189796243</v>
      </c>
      <c r="S1024" s="222">
        <f t="shared" si="1039"/>
        <v>420.56665464260908</v>
      </c>
      <c r="T1024" s="222">
        <f t="shared" si="1040"/>
        <v>1385.8035212570203</v>
      </c>
      <c r="U1024" s="222">
        <f t="shared" si="1041"/>
        <v>608.41452184539355</v>
      </c>
      <c r="V1024" s="222">
        <f t="shared" si="1042"/>
        <v>226.24712974655228</v>
      </c>
      <c r="W1024" s="222"/>
      <c r="X1024" s="222">
        <f t="shared" si="1043"/>
        <v>501.22219902288623</v>
      </c>
      <c r="Z1024" s="199">
        <f t="shared" si="1044"/>
        <v>0</v>
      </c>
      <c r="AA1024" s="90">
        <v>0</v>
      </c>
      <c r="AB1024" s="90">
        <v>0</v>
      </c>
      <c r="AC1024" s="216" t="s">
        <v>228</v>
      </c>
      <c r="AH1024" s="216"/>
    </row>
    <row r="1025" spans="1:34">
      <c r="P1025" s="216" t="s">
        <v>25</v>
      </c>
      <c r="R1025" s="230">
        <f t="shared" si="1038"/>
        <v>0</v>
      </c>
      <c r="S1025" s="230">
        <f t="shared" si="1039"/>
        <v>340.21100790008239</v>
      </c>
      <c r="T1025" s="230">
        <f t="shared" si="1040"/>
        <v>757.05842376881128</v>
      </c>
      <c r="U1025" s="230">
        <f t="shared" si="1041"/>
        <v>550.6922374171719</v>
      </c>
      <c r="V1025" s="230">
        <f t="shared" si="1042"/>
        <v>146.46976731807797</v>
      </c>
      <c r="W1025" s="230"/>
      <c r="X1025" s="222">
        <f t="shared" si="1043"/>
        <v>400.13283204512777</v>
      </c>
      <c r="Z1025" s="199">
        <f t="shared" si="1044"/>
        <v>0</v>
      </c>
      <c r="AA1025" s="90">
        <v>0</v>
      </c>
      <c r="AB1025" s="90">
        <v>0</v>
      </c>
      <c r="AC1025" s="216" t="s">
        <v>152</v>
      </c>
      <c r="AH1025" s="216"/>
    </row>
    <row r="1026" spans="1:34">
      <c r="P1026" s="216" t="s">
        <v>26</v>
      </c>
      <c r="R1026" s="230">
        <f t="shared" si="1038"/>
        <v>0</v>
      </c>
      <c r="S1026" s="230">
        <f t="shared" si="1039"/>
        <v>342.45251527277691</v>
      </c>
      <c r="T1026" s="230">
        <f t="shared" si="1040"/>
        <v>0</v>
      </c>
      <c r="U1026" s="230">
        <f t="shared" si="1041"/>
        <v>390.79283554145837</v>
      </c>
      <c r="V1026" s="230">
        <f t="shared" si="1042"/>
        <v>173.34998678843681</v>
      </c>
      <c r="W1026" s="230"/>
      <c r="X1026" s="222">
        <f t="shared" si="1043"/>
        <v>347.08554240017344</v>
      </c>
      <c r="Z1026" s="199">
        <f t="shared" si="1044"/>
        <v>0</v>
      </c>
      <c r="AA1026" s="90">
        <v>0</v>
      </c>
      <c r="AB1026" s="90">
        <v>0</v>
      </c>
      <c r="AC1026" s="216" t="s">
        <v>229</v>
      </c>
      <c r="AH1026" s="216"/>
    </row>
    <row r="1027" spans="1:34">
      <c r="P1027" s="216" t="s">
        <v>27</v>
      </c>
      <c r="R1027" s="230">
        <f t="shared" si="1038"/>
        <v>0</v>
      </c>
      <c r="S1027" s="230">
        <f t="shared" si="1039"/>
        <v>433.60714842902149</v>
      </c>
      <c r="T1027" s="230">
        <f t="shared" si="1040"/>
        <v>1360.0719160924905</v>
      </c>
      <c r="U1027" s="230">
        <f t="shared" si="1041"/>
        <v>597.26171698586211</v>
      </c>
      <c r="V1027" s="230">
        <f t="shared" si="1042"/>
        <v>221.2132347229024</v>
      </c>
      <c r="W1027" s="230"/>
      <c r="X1027" s="222">
        <f t="shared" si="1043"/>
        <v>508.45382935600753</v>
      </c>
      <c r="Z1027" s="199">
        <f t="shared" si="1044"/>
        <v>0</v>
      </c>
      <c r="AA1027" s="90">
        <v>0</v>
      </c>
      <c r="AB1027" s="90">
        <v>0</v>
      </c>
      <c r="AC1027" s="216" t="s">
        <v>230</v>
      </c>
      <c r="AH1027" s="219"/>
    </row>
    <row r="1028" spans="1:34">
      <c r="P1028" s="216" t="s">
        <v>28</v>
      </c>
      <c r="R1028" s="230">
        <f t="shared" si="1038"/>
        <v>414.23624189796243</v>
      </c>
      <c r="S1028" s="230">
        <f t="shared" si="1039"/>
        <v>281.93181621002429</v>
      </c>
      <c r="T1028" s="230">
        <f t="shared" si="1040"/>
        <v>0</v>
      </c>
      <c r="U1028" s="230">
        <f t="shared" si="1041"/>
        <v>373.53281863837731</v>
      </c>
      <c r="V1028" s="230">
        <f t="shared" si="1042"/>
        <v>170.88139520442428</v>
      </c>
      <c r="W1028" s="230"/>
      <c r="X1028" s="222">
        <f t="shared" si="1043"/>
        <v>320.79760922892046</v>
      </c>
      <c r="Z1028" s="199">
        <f t="shared" si="1044"/>
        <v>0</v>
      </c>
      <c r="AA1028" s="90">
        <v>0</v>
      </c>
      <c r="AB1028" s="90">
        <v>0</v>
      </c>
      <c r="AC1028" s="216" t="s">
        <v>243</v>
      </c>
      <c r="AH1028" s="216"/>
    </row>
    <row r="1029" spans="1:34">
      <c r="P1029" s="216" t="s">
        <v>29</v>
      </c>
      <c r="R1029" s="230">
        <f t="shared" si="1038"/>
        <v>0</v>
      </c>
      <c r="S1029" s="230">
        <f t="shared" si="1039"/>
        <v>535.72026207399483</v>
      </c>
      <c r="T1029" s="230">
        <f t="shared" si="1040"/>
        <v>1928.1948897555205</v>
      </c>
      <c r="U1029" s="230">
        <f t="shared" si="1041"/>
        <v>725.57203132197458</v>
      </c>
      <c r="V1029" s="230">
        <f t="shared" si="1042"/>
        <v>295.68241417394768</v>
      </c>
      <c r="W1029" s="230"/>
      <c r="X1029" s="222">
        <f t="shared" si="1043"/>
        <v>666.61104031517641</v>
      </c>
      <c r="AH1029" s="216"/>
    </row>
    <row r="1030" spans="1:34">
      <c r="AH1030" s="216"/>
    </row>
    <row r="1031" spans="1:34">
      <c r="P1031" s="223" t="s">
        <v>10</v>
      </c>
      <c r="R1031" s="224">
        <f>R1007/J991*1000000</f>
        <v>852.01150374145038</v>
      </c>
      <c r="S1031" s="224">
        <f>S1007/K991*1000000</f>
        <v>480.39073657545333</v>
      </c>
      <c r="T1031" s="224">
        <f>T1007/L991*1000000</f>
        <v>1498.3443544830059</v>
      </c>
      <c r="U1031" s="224">
        <f>U1007/M991*1000000</f>
        <v>712.98782267908609</v>
      </c>
      <c r="V1031" s="224">
        <f>V1007/N991*1000000</f>
        <v>264.96952735488151</v>
      </c>
      <c r="W1031" s="224"/>
      <c r="X1031" s="225">
        <f>X1007/P991*1000000</f>
        <v>633.59931118137638</v>
      </c>
      <c r="AH1031" s="216"/>
    </row>
    <row r="1032" spans="1:34">
      <c r="R1032" s="234">
        <f>'12'!L6</f>
        <v>852.01099908124331</v>
      </c>
      <c r="S1032" s="234">
        <f>'12'!L7</f>
        <v>486.08909796489854</v>
      </c>
      <c r="T1032" s="234">
        <f>'12'!L8</f>
        <v>1498.2748819379117</v>
      </c>
      <c r="U1032" s="234">
        <f>'12'!L9</f>
        <v>712.987111319012</v>
      </c>
      <c r="V1032" s="234">
        <f>'12'!L10</f>
        <v>240.69573194352802</v>
      </c>
      <c r="W1032" s="234"/>
      <c r="X1032" s="225">
        <f>'12'!L11</f>
        <v>633.74990967798044</v>
      </c>
    </row>
    <row r="1033" spans="1:34">
      <c r="S1033" s="202"/>
      <c r="T1033" s="202"/>
      <c r="U1033" s="202"/>
      <c r="V1033" s="202"/>
      <c r="W1033" s="202"/>
      <c r="X1033" s="202">
        <f>X1031-X1032</f>
        <v>-0.15059849660406144</v>
      </c>
    </row>
    <row r="1037" spans="1:34">
      <c r="A1037" s="255" t="s">
        <v>251</v>
      </c>
    </row>
    <row r="1038" spans="1:34">
      <c r="A1038" s="68" t="s">
        <v>245</v>
      </c>
      <c r="J1038" s="68" t="s">
        <v>199</v>
      </c>
      <c r="R1038" s="68" t="s">
        <v>136</v>
      </c>
      <c r="S1038" s="68"/>
    </row>
    <row r="1039" spans="1:34" ht="15.6">
      <c r="A1039" s="68"/>
      <c r="J1039" s="210" t="s">
        <v>5</v>
      </c>
      <c r="K1039" s="210" t="s">
        <v>210</v>
      </c>
      <c r="L1039" s="210" t="s">
        <v>211</v>
      </c>
      <c r="M1039" s="210" t="s">
        <v>214</v>
      </c>
      <c r="N1039" s="210" t="s">
        <v>246</v>
      </c>
      <c r="O1039" s="210"/>
      <c r="P1039" s="210" t="s">
        <v>213</v>
      </c>
      <c r="Q1039" s="2"/>
      <c r="R1039" s="210" t="s">
        <v>5</v>
      </c>
      <c r="S1039" s="210" t="s">
        <v>210</v>
      </c>
      <c r="T1039" s="210" t="s">
        <v>211</v>
      </c>
      <c r="U1039" s="210" t="s">
        <v>214</v>
      </c>
      <c r="V1039" s="210" t="s">
        <v>246</v>
      </c>
      <c r="W1039" s="210"/>
      <c r="X1039" s="210" t="s">
        <v>213</v>
      </c>
    </row>
    <row r="1040" spans="1:34" ht="15.6">
      <c r="A1040" s="11" t="s">
        <v>17</v>
      </c>
      <c r="J1040" s="209">
        <f>SUM(J1041:J1045)</f>
        <v>25742.3</v>
      </c>
      <c r="K1040" s="209">
        <f>SUM(K1041:K1045)</f>
        <v>58061.5</v>
      </c>
      <c r="L1040" s="209">
        <f>SUM(L1041:L1045)</f>
        <v>1534.8999999999999</v>
      </c>
      <c r="M1040" s="209">
        <f>SUM(M1041:M1045)</f>
        <v>73074.2</v>
      </c>
      <c r="N1040" s="209">
        <f>SUM(N1041:N1045)</f>
        <v>1156.1999999999998</v>
      </c>
      <c r="O1040" s="209"/>
      <c r="P1040" s="209">
        <f>SUM(P1041:P1045)</f>
        <v>159569.09999999998</v>
      </c>
      <c r="Q1040" s="143"/>
      <c r="R1040" s="236">
        <v>9.7468703999999988</v>
      </c>
      <c r="S1040" s="236">
        <v>8.7587855999999995</v>
      </c>
      <c r="T1040" s="236">
        <v>10.7977572</v>
      </c>
      <c r="U1040" s="236">
        <v>9.4035527999999999</v>
      </c>
      <c r="V1040" s="236">
        <v>12.694377599999999</v>
      </c>
      <c r="W1040" s="236"/>
      <c r="X1040" s="236">
        <v>9.2612015999999997</v>
      </c>
    </row>
    <row r="1041" spans="1:24" ht="15.6">
      <c r="A1041" s="10" t="s">
        <v>18</v>
      </c>
      <c r="K1041">
        <v>286.10000000000002</v>
      </c>
      <c r="M1041">
        <v>257.89999999999998</v>
      </c>
      <c r="N1041">
        <v>650.79999999999995</v>
      </c>
      <c r="P1041" s="68">
        <f>SUM(J1041:N1041)</f>
        <v>1194.8</v>
      </c>
      <c r="Q1041" s="143"/>
      <c r="R1041" s="201"/>
      <c r="S1041" s="201">
        <v>10.634472000000001</v>
      </c>
      <c r="T1041" s="201"/>
      <c r="U1041" s="201">
        <v>10.25766</v>
      </c>
      <c r="V1041" s="201">
        <v>9.1858392000000002</v>
      </c>
      <c r="W1041" s="201"/>
      <c r="X1041" s="236">
        <v>9.7636175999999999</v>
      </c>
    </row>
    <row r="1042" spans="1:24" ht="15.6">
      <c r="A1042" s="10" t="s">
        <v>19</v>
      </c>
      <c r="K1042">
        <v>11202.9</v>
      </c>
      <c r="L1042">
        <v>69.3</v>
      </c>
      <c r="M1042">
        <v>1091.5</v>
      </c>
      <c r="N1042">
        <v>20.399999999999999</v>
      </c>
      <c r="P1042" s="68">
        <f>SUM(J1042:N1042)</f>
        <v>12384.099999999999</v>
      </c>
      <c r="Q1042" s="143"/>
      <c r="R1042" s="201"/>
      <c r="S1042" s="201">
        <v>10.446066</v>
      </c>
      <c r="T1042" s="201">
        <v>26.7913332</v>
      </c>
      <c r="U1042" s="201">
        <v>12.397114799999999</v>
      </c>
      <c r="V1042" s="201">
        <v>12.0035556</v>
      </c>
      <c r="W1042" s="201"/>
      <c r="X1042" s="236">
        <v>10.709834399999998</v>
      </c>
    </row>
    <row r="1043" spans="1:24" ht="15.6">
      <c r="A1043" s="10" t="s">
        <v>20</v>
      </c>
      <c r="J1043">
        <v>25742.3</v>
      </c>
      <c r="K1043">
        <f>39694.6</f>
        <v>39694.6</v>
      </c>
      <c r="L1043">
        <v>1465.6</v>
      </c>
      <c r="M1043">
        <v>71724.800000000003</v>
      </c>
      <c r="N1043">
        <v>485</v>
      </c>
      <c r="P1043" s="68">
        <f>SUM(J1043:N1043)</f>
        <v>139112.29999999999</v>
      </c>
      <c r="Q1043" s="143"/>
      <c r="R1043" s="201">
        <v>9.7468703999999988</v>
      </c>
      <c r="S1043" s="201">
        <v>8.5075775999999994</v>
      </c>
      <c r="T1043" s="201">
        <v>10.0399464</v>
      </c>
      <c r="U1043" s="201">
        <v>9.3533112000000003</v>
      </c>
      <c r="V1043" s="201">
        <v>17.429648400000001</v>
      </c>
      <c r="W1043" s="201"/>
      <c r="X1043" s="236">
        <v>9.2193335999999988</v>
      </c>
    </row>
    <row r="1044" spans="1:24" ht="15.6">
      <c r="A1044" s="10" t="s">
        <v>21</v>
      </c>
      <c r="K1044">
        <v>6877.9</v>
      </c>
      <c r="P1044" s="68">
        <f>SUM(J1044:N1044)</f>
        <v>6877.9</v>
      </c>
      <c r="Q1044" s="143"/>
      <c r="R1044" s="201"/>
      <c r="S1044" s="201">
        <v>7.3980755999999994</v>
      </c>
      <c r="T1044" s="201"/>
      <c r="U1044" s="201"/>
      <c r="V1044" s="201"/>
      <c r="W1044" s="201"/>
      <c r="X1044" s="236">
        <v>7.3980755999999994</v>
      </c>
    </row>
    <row r="1045" spans="1:24" ht="15.6">
      <c r="A1045" s="10" t="s">
        <v>23</v>
      </c>
      <c r="P1045" s="68"/>
      <c r="Q1045" s="143"/>
      <c r="R1045" s="201"/>
      <c r="S1045" s="201"/>
      <c r="T1045" s="201"/>
      <c r="U1045" s="201"/>
      <c r="V1045" s="201"/>
      <c r="W1045" s="201"/>
      <c r="X1045" s="236"/>
    </row>
    <row r="1046" spans="1:24" ht="15.6">
      <c r="A1046" s="11" t="s">
        <v>24</v>
      </c>
      <c r="J1046" s="209">
        <f>SUM(J1047:J1051)</f>
        <v>529.70000000000005</v>
      </c>
      <c r="K1046" s="209">
        <f>SUM(K1047:K1051)</f>
        <v>39546</v>
      </c>
      <c r="L1046" s="209">
        <f>SUM(L1047:L1051)</f>
        <v>2716.9</v>
      </c>
      <c r="M1046" s="209">
        <f>SUM(M1047:M1051)</f>
        <v>12803.7</v>
      </c>
      <c r="N1046" s="209">
        <f>SUM(N1047:N1051)</f>
        <v>4503.5</v>
      </c>
      <c r="O1046" s="209"/>
      <c r="P1046" s="209">
        <f>SUM(P1047:P1051)</f>
        <v>60099.8</v>
      </c>
      <c r="Q1046" s="143"/>
      <c r="R1046" s="236">
        <v>4.6892160000000001</v>
      </c>
      <c r="S1046" s="236">
        <v>7.0715051999999998</v>
      </c>
      <c r="T1046" s="236">
        <v>8.8132140000000003</v>
      </c>
      <c r="U1046" s="236">
        <v>7.8209423999999999</v>
      </c>
      <c r="V1046" s="236">
        <v>6.9082199999999991</v>
      </c>
      <c r="W1046" s="236"/>
      <c r="X1046" s="236">
        <v>7.2766583999999996</v>
      </c>
    </row>
    <row r="1047" spans="1:24" ht="15.6">
      <c r="A1047" s="10" t="s">
        <v>25</v>
      </c>
      <c r="K1047">
        <v>1055.0999999999999</v>
      </c>
      <c r="L1047">
        <v>142.4</v>
      </c>
      <c r="M1047">
        <v>122</v>
      </c>
      <c r="N1047">
        <v>41.4</v>
      </c>
      <c r="P1047" s="68">
        <f>SUM(J1047:N1047)</f>
        <v>1360.9</v>
      </c>
      <c r="Q1047" s="143"/>
      <c r="R1047" s="201"/>
      <c r="S1047" s="201">
        <v>5.7191688000000003</v>
      </c>
      <c r="T1047" s="201">
        <v>4.8148199999999992</v>
      </c>
      <c r="U1047" s="201">
        <v>7.0798788000000004</v>
      </c>
      <c r="V1047" s="201">
        <v>4.4715024000000003</v>
      </c>
      <c r="W1047" s="201"/>
      <c r="X1047" s="236">
        <v>5.7066083999999995</v>
      </c>
    </row>
    <row r="1048" spans="1:24" ht="15.6">
      <c r="A1048" s="10" t="s">
        <v>26</v>
      </c>
      <c r="K1048">
        <v>4403.2</v>
      </c>
      <c r="M1048">
        <v>526.9</v>
      </c>
      <c r="N1048">
        <v>31.5</v>
      </c>
      <c r="P1048" s="68">
        <f>SUM(J1048:N1048)</f>
        <v>4961.5999999999995</v>
      </c>
      <c r="Q1048" s="143"/>
      <c r="R1048" s="201"/>
      <c r="S1048" s="201">
        <v>5.75685</v>
      </c>
      <c r="T1048" s="201"/>
      <c r="U1048" s="201">
        <v>5.0241599999999993</v>
      </c>
      <c r="V1048" s="201">
        <v>5.2921151999999996</v>
      </c>
      <c r="W1048" s="201"/>
      <c r="X1048" s="236">
        <v>5.6773008000000003</v>
      </c>
    </row>
    <row r="1049" spans="1:24" ht="15.6">
      <c r="A1049" s="10" t="s">
        <v>27</v>
      </c>
      <c r="K1049" s="177">
        <f>27115</f>
        <v>27115</v>
      </c>
      <c r="L1049">
        <v>2300.3000000000002</v>
      </c>
      <c r="M1049">
        <v>4739</v>
      </c>
      <c r="N1049">
        <f>2812.5</f>
        <v>2812.5</v>
      </c>
      <c r="P1049" s="68">
        <f>SUM(J1049:N1049)</f>
        <v>36966.800000000003</v>
      </c>
      <c r="Q1049" s="143"/>
      <c r="R1049" s="201"/>
      <c r="S1049" s="201">
        <v>7.2892188000000004</v>
      </c>
      <c r="T1049" s="201">
        <v>8.6499287999999996</v>
      </c>
      <c r="U1049" s="201">
        <v>7.6785911999999996</v>
      </c>
      <c r="V1049" s="201">
        <v>6.7533083999999999</v>
      </c>
      <c r="W1049" s="201"/>
      <c r="X1049" s="236">
        <v>7.3813283999999992</v>
      </c>
    </row>
    <row r="1050" spans="1:24" ht="15.6">
      <c r="A1050" s="10" t="s">
        <v>28</v>
      </c>
      <c r="J1050">
        <v>529.70000000000005</v>
      </c>
      <c r="K1050">
        <f>2867.7</f>
        <v>2867.7</v>
      </c>
      <c r="M1050">
        <v>1972.1</v>
      </c>
      <c r="N1050">
        <f>747</f>
        <v>747</v>
      </c>
      <c r="P1050" s="68">
        <f>SUM(J1050:N1050)</f>
        <v>6116.5</v>
      </c>
      <c r="Q1050" s="143"/>
      <c r="R1050" s="201">
        <v>4.6892160000000001</v>
      </c>
      <c r="S1050" s="201">
        <v>4.7394575999999997</v>
      </c>
      <c r="T1050" s="201"/>
      <c r="U1050" s="201">
        <v>4.8022596000000002</v>
      </c>
      <c r="V1050" s="201">
        <v>5.2167528000000001</v>
      </c>
      <c r="W1050" s="201"/>
      <c r="X1050" s="236">
        <v>4.8148199999999992</v>
      </c>
    </row>
    <row r="1051" spans="1:24" ht="15.6">
      <c r="A1051" s="10" t="s">
        <v>29</v>
      </c>
      <c r="K1051">
        <f>4105</f>
        <v>4105</v>
      </c>
      <c r="L1051">
        <v>274.2</v>
      </c>
      <c r="M1051">
        <v>5443.7</v>
      </c>
      <c r="N1051">
        <f>871.1</f>
        <v>871.1</v>
      </c>
      <c r="P1051" s="68">
        <f>SUM(J1051:N1051)</f>
        <v>10694</v>
      </c>
      <c r="Q1051" s="143"/>
      <c r="R1051" s="201"/>
      <c r="S1051" s="201">
        <v>9.0058067999999984</v>
      </c>
      <c r="T1051" s="201">
        <v>12.263137199999999</v>
      </c>
      <c r="U1051" s="201">
        <v>9.3281904000000004</v>
      </c>
      <c r="V1051" s="201">
        <v>9.0267408000000007</v>
      </c>
      <c r="W1051" s="201"/>
      <c r="X1051" s="236">
        <v>9.2528279999999992</v>
      </c>
    </row>
    <row r="1052" spans="1:24" ht="15.6">
      <c r="Q1052" s="2"/>
      <c r="R1052" s="236"/>
      <c r="S1052" s="236"/>
      <c r="T1052" s="236"/>
      <c r="U1052" s="236"/>
      <c r="V1052" s="236"/>
      <c r="W1052" s="236"/>
      <c r="X1052" s="236"/>
    </row>
    <row r="1053" spans="1:24" ht="15.6">
      <c r="A1053" s="11" t="s">
        <v>10</v>
      </c>
      <c r="J1053" s="209">
        <f>J1040+J1046</f>
        <v>26272</v>
      </c>
      <c r="K1053" s="209">
        <f>K1040+K1046</f>
        <v>97607.5</v>
      </c>
      <c r="L1053" s="209">
        <f>L1040+L1046</f>
        <v>4251.8</v>
      </c>
      <c r="M1053" s="209">
        <f>M1040+M1046</f>
        <v>85877.9</v>
      </c>
      <c r="N1053" s="209">
        <f>N1040+N1046</f>
        <v>5659.7</v>
      </c>
      <c r="O1053" s="209"/>
      <c r="P1053" s="209">
        <f>P1040+P1046</f>
        <v>219668.89999999997</v>
      </c>
      <c r="Q1053" s="2"/>
      <c r="R1053" s="236">
        <v>9.6422004000000001</v>
      </c>
      <c r="S1053" s="236">
        <v>8.0763371999999993</v>
      </c>
      <c r="T1053" s="236">
        <v>9.5291567999999991</v>
      </c>
      <c r="U1053" s="236">
        <v>9.1690919999999991</v>
      </c>
      <c r="V1053" s="236">
        <v>8.0888975999999992</v>
      </c>
      <c r="W1053" s="236"/>
      <c r="X1053" s="236">
        <v>8.7169175999999986</v>
      </c>
    </row>
  </sheetData>
  <mergeCells count="1">
    <mergeCell ref="A1:B1"/>
  </mergeCells>
  <hyperlinks>
    <hyperlink ref="A1" location="Indice!A1" display="Torna indietro" xr:uid="{00000000-0004-0000-1C00-000000000000}"/>
  </hyperlinks>
  <pageMargins left="0.7" right="0.7" top="0.75" bottom="0.75" header="0.3" footer="0.3"/>
  <pageSetup paperSize="9"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3"/>
  <dimension ref="A1:E48"/>
  <sheetViews>
    <sheetView workbookViewId="0">
      <selection activeCell="O30" sqref="O30"/>
    </sheetView>
  </sheetViews>
  <sheetFormatPr defaultRowHeight="14.4"/>
  <cols>
    <col min="1" max="1" width="23.21875" customWidth="1"/>
    <col min="2" max="2" width="37.44140625" customWidth="1"/>
    <col min="4" max="4" width="20.44140625" bestFit="1" customWidth="1"/>
    <col min="5" max="5" width="38.21875" customWidth="1"/>
  </cols>
  <sheetData>
    <row r="1" spans="1:5" ht="15.6">
      <c r="A1" s="608" t="s">
        <v>57</v>
      </c>
      <c r="B1" s="608"/>
    </row>
    <row r="2" spans="1:5" ht="15.6">
      <c r="A2" s="2"/>
      <c r="B2" s="2"/>
    </row>
    <row r="3" spans="1:5" ht="35.700000000000003" customHeight="1">
      <c r="A3" s="861" t="s">
        <v>170</v>
      </c>
      <c r="B3" s="861"/>
      <c r="C3" s="861"/>
      <c r="D3" s="861"/>
      <c r="E3" s="861"/>
    </row>
    <row r="5" spans="1:5">
      <c r="A5" s="844" t="s">
        <v>158</v>
      </c>
      <c r="B5" s="845"/>
      <c r="D5" s="844" t="s">
        <v>159</v>
      </c>
      <c r="E5" s="845"/>
    </row>
    <row r="6" spans="1:5">
      <c r="A6" s="794" t="s">
        <v>5</v>
      </c>
      <c r="B6" s="843" t="s">
        <v>297</v>
      </c>
      <c r="D6" s="794" t="s">
        <v>5</v>
      </c>
      <c r="E6" s="843" t="s">
        <v>297</v>
      </c>
    </row>
    <row r="7" spans="1:5">
      <c r="A7" s="146"/>
      <c r="B7" s="150" t="s">
        <v>298</v>
      </c>
      <c r="D7" s="146"/>
      <c r="E7" s="150" t="s">
        <v>298</v>
      </c>
    </row>
    <row r="8" spans="1:5" ht="15" thickBot="1">
      <c r="A8" s="148"/>
      <c r="B8" s="152" t="s">
        <v>299</v>
      </c>
      <c r="D8" s="148"/>
      <c r="E8" s="152" t="s">
        <v>299</v>
      </c>
    </row>
    <row r="9" spans="1:5" ht="15" thickBot="1">
      <c r="A9" s="145" t="s">
        <v>6</v>
      </c>
      <c r="B9" s="149" t="s">
        <v>6</v>
      </c>
      <c r="D9" s="145" t="s">
        <v>6</v>
      </c>
      <c r="E9" s="149" t="s">
        <v>6</v>
      </c>
    </row>
    <row r="10" spans="1:5">
      <c r="A10" s="145" t="s">
        <v>7</v>
      </c>
      <c r="B10" s="149" t="s">
        <v>300</v>
      </c>
      <c r="D10" s="145" t="s">
        <v>7</v>
      </c>
      <c r="E10" s="149" t="s">
        <v>300</v>
      </c>
    </row>
    <row r="11" spans="1:5">
      <c r="A11" s="146"/>
      <c r="B11" s="150" t="s">
        <v>301</v>
      </c>
      <c r="D11" s="146"/>
      <c r="E11" s="150" t="s">
        <v>302</v>
      </c>
    </row>
    <row r="12" spans="1:5" ht="15" thickBot="1">
      <c r="A12" s="146"/>
      <c r="B12" s="150" t="s">
        <v>302</v>
      </c>
      <c r="D12" s="148"/>
      <c r="E12" s="153" t="s">
        <v>111</v>
      </c>
    </row>
    <row r="13" spans="1:5" ht="15" thickBot="1">
      <c r="A13" s="148"/>
      <c r="B13" s="153" t="s">
        <v>111</v>
      </c>
      <c r="D13" s="145" t="s">
        <v>157</v>
      </c>
      <c r="E13" s="156" t="s">
        <v>321</v>
      </c>
    </row>
    <row r="14" spans="1:5">
      <c r="A14" s="795" t="s">
        <v>157</v>
      </c>
      <c r="B14" s="793" t="s">
        <v>613</v>
      </c>
      <c r="D14" s="794"/>
      <c r="E14" s="156" t="s">
        <v>311</v>
      </c>
    </row>
    <row r="15" spans="1:5">
      <c r="A15" s="794"/>
      <c r="B15" s="154" t="s">
        <v>304</v>
      </c>
      <c r="D15" s="146"/>
      <c r="E15" s="156" t="s">
        <v>613</v>
      </c>
    </row>
    <row r="16" spans="1:5">
      <c r="A16" s="146"/>
      <c r="B16" s="150" t="s">
        <v>118</v>
      </c>
      <c r="D16" s="146"/>
      <c r="E16" s="157" t="s">
        <v>304</v>
      </c>
    </row>
    <row r="17" spans="1:5">
      <c r="A17" s="146"/>
      <c r="B17" s="150" t="s">
        <v>303</v>
      </c>
      <c r="D17" s="146"/>
      <c r="E17" s="156" t="s">
        <v>118</v>
      </c>
    </row>
    <row r="18" spans="1:5">
      <c r="A18" s="146"/>
      <c r="B18" s="151" t="s">
        <v>305</v>
      </c>
      <c r="D18" s="146"/>
      <c r="E18" s="156" t="s">
        <v>303</v>
      </c>
    </row>
    <row r="19" spans="1:5">
      <c r="A19" s="146"/>
      <c r="B19" s="150" t="s">
        <v>104</v>
      </c>
      <c r="D19" s="146"/>
      <c r="E19" s="156" t="s">
        <v>301</v>
      </c>
    </row>
    <row r="20" spans="1:5">
      <c r="A20" s="146"/>
      <c r="B20" s="150" t="s">
        <v>306</v>
      </c>
      <c r="D20" s="146"/>
      <c r="E20" s="158" t="s">
        <v>305</v>
      </c>
    </row>
    <row r="21" spans="1:5">
      <c r="A21" s="146"/>
      <c r="B21" s="150" t="s">
        <v>376</v>
      </c>
      <c r="D21" s="146"/>
      <c r="E21" s="156" t="s">
        <v>104</v>
      </c>
    </row>
    <row r="22" spans="1:5">
      <c r="A22" s="146"/>
      <c r="B22" s="150" t="s">
        <v>307</v>
      </c>
      <c r="D22" s="146"/>
      <c r="E22" s="156" t="s">
        <v>315</v>
      </c>
    </row>
    <row r="23" spans="1:5">
      <c r="A23" s="146"/>
      <c r="B23" s="150" t="s">
        <v>105</v>
      </c>
      <c r="D23" s="147"/>
      <c r="E23" s="155" t="s">
        <v>316</v>
      </c>
    </row>
    <row r="24" spans="1:5">
      <c r="A24" s="146"/>
      <c r="B24" s="151" t="s">
        <v>308</v>
      </c>
      <c r="D24" s="159"/>
      <c r="E24" s="150" t="s">
        <v>306</v>
      </c>
    </row>
    <row r="25" spans="1:5" ht="15" thickBot="1">
      <c r="A25" s="147"/>
      <c r="B25" s="151" t="s">
        <v>309</v>
      </c>
      <c r="D25" s="159"/>
      <c r="E25" s="155" t="s">
        <v>329</v>
      </c>
    </row>
    <row r="26" spans="1:5">
      <c r="A26" s="145" t="s">
        <v>12</v>
      </c>
      <c r="B26" s="149" t="s">
        <v>310</v>
      </c>
      <c r="D26" s="159"/>
      <c r="E26" s="155" t="s">
        <v>376</v>
      </c>
    </row>
    <row r="27" spans="1:5">
      <c r="A27" s="146"/>
      <c r="B27" s="150" t="s">
        <v>311</v>
      </c>
      <c r="D27" s="159"/>
      <c r="E27" s="150" t="s">
        <v>307</v>
      </c>
    </row>
    <row r="28" spans="1:5">
      <c r="A28" s="146"/>
      <c r="B28" s="150" t="s">
        <v>312</v>
      </c>
      <c r="D28" s="159"/>
      <c r="E28" s="150" t="s">
        <v>105</v>
      </c>
    </row>
    <row r="29" spans="1:5">
      <c r="A29" s="146"/>
      <c r="B29" s="150" t="s">
        <v>313</v>
      </c>
      <c r="D29" s="159"/>
      <c r="E29" s="151" t="s">
        <v>308</v>
      </c>
    </row>
    <row r="30" spans="1:5" ht="15" thickBot="1">
      <c r="A30" s="146"/>
      <c r="B30" s="150" t="s">
        <v>144</v>
      </c>
      <c r="D30" s="159"/>
      <c r="E30" s="151" t="s">
        <v>309</v>
      </c>
    </row>
    <row r="31" spans="1:5">
      <c r="A31" s="146"/>
      <c r="B31" s="151" t="s">
        <v>314</v>
      </c>
      <c r="D31" s="160" t="s">
        <v>9</v>
      </c>
      <c r="E31" s="149" t="s">
        <v>310</v>
      </c>
    </row>
    <row r="32" spans="1:5">
      <c r="A32" s="146"/>
      <c r="B32" s="150" t="s">
        <v>315</v>
      </c>
      <c r="D32" s="161"/>
      <c r="E32" s="150" t="s">
        <v>312</v>
      </c>
    </row>
    <row r="33" spans="1:5">
      <c r="A33" s="146"/>
      <c r="B33" s="150" t="s">
        <v>316</v>
      </c>
      <c r="D33" s="161"/>
      <c r="E33" s="150" t="s">
        <v>322</v>
      </c>
    </row>
    <row r="34" spans="1:5">
      <c r="A34" s="146"/>
      <c r="B34" s="150" t="s">
        <v>317</v>
      </c>
      <c r="D34" s="161"/>
      <c r="E34" s="150" t="s">
        <v>323</v>
      </c>
    </row>
    <row r="35" spans="1:5">
      <c r="A35" s="146"/>
      <c r="B35" s="150" t="s">
        <v>318</v>
      </c>
      <c r="D35" s="161"/>
      <c r="E35" s="150" t="s">
        <v>324</v>
      </c>
    </row>
    <row r="36" spans="1:5">
      <c r="A36" s="146"/>
      <c r="B36" s="150" t="s">
        <v>319</v>
      </c>
      <c r="D36" s="161"/>
      <c r="E36" s="150" t="s">
        <v>325</v>
      </c>
    </row>
    <row r="37" spans="1:5">
      <c r="A37" s="146"/>
      <c r="B37" s="150" t="s">
        <v>320</v>
      </c>
      <c r="D37" s="161"/>
      <c r="E37" s="150" t="s">
        <v>326</v>
      </c>
    </row>
    <row r="38" spans="1:5" ht="15" thickBot="1">
      <c r="A38" s="148"/>
      <c r="B38" s="152" t="s">
        <v>149</v>
      </c>
      <c r="D38" s="161"/>
      <c r="E38" s="150" t="s">
        <v>327</v>
      </c>
    </row>
    <row r="39" spans="1:5">
      <c r="A39" s="145" t="s">
        <v>13</v>
      </c>
      <c r="B39" s="149" t="s">
        <v>321</v>
      </c>
      <c r="D39" s="161"/>
      <c r="E39" s="150" t="s">
        <v>313</v>
      </c>
    </row>
    <row r="40" spans="1:5">
      <c r="A40" s="146"/>
      <c r="B40" s="150" t="s">
        <v>322</v>
      </c>
      <c r="D40" s="161"/>
      <c r="E40" s="150" t="s">
        <v>144</v>
      </c>
    </row>
    <row r="41" spans="1:5">
      <c r="A41" s="146"/>
      <c r="B41" s="150" t="s">
        <v>323</v>
      </c>
      <c r="D41" s="162"/>
      <c r="E41" s="151" t="s">
        <v>314</v>
      </c>
    </row>
    <row r="42" spans="1:5">
      <c r="A42" s="146"/>
      <c r="B42" s="150" t="s">
        <v>324</v>
      </c>
      <c r="D42" s="161"/>
      <c r="E42" s="150" t="s">
        <v>328</v>
      </c>
    </row>
    <row r="43" spans="1:5">
      <c r="A43" s="146"/>
      <c r="B43" s="150" t="s">
        <v>325</v>
      </c>
      <c r="D43" s="161"/>
      <c r="E43" s="150" t="s">
        <v>317</v>
      </c>
    </row>
    <row r="44" spans="1:5">
      <c r="A44" s="146"/>
      <c r="B44" s="150" t="s">
        <v>326</v>
      </c>
      <c r="D44" s="161"/>
      <c r="E44" s="150" t="s">
        <v>318</v>
      </c>
    </row>
    <row r="45" spans="1:5">
      <c r="A45" s="146"/>
      <c r="B45" s="150" t="s">
        <v>327</v>
      </c>
      <c r="D45" s="161"/>
      <c r="E45" s="150" t="s">
        <v>319</v>
      </c>
    </row>
    <row r="46" spans="1:5">
      <c r="A46" s="146"/>
      <c r="B46" s="150" t="s">
        <v>328</v>
      </c>
      <c r="D46" s="161"/>
      <c r="E46" s="150" t="s">
        <v>320</v>
      </c>
    </row>
    <row r="47" spans="1:5">
      <c r="A47" s="147"/>
      <c r="B47" s="533" t="s">
        <v>329</v>
      </c>
      <c r="D47" s="161"/>
      <c r="E47" s="535" t="s">
        <v>149</v>
      </c>
    </row>
    <row r="48" spans="1:5" ht="15" thickBot="1">
      <c r="A48" s="163"/>
      <c r="B48" s="534" t="s">
        <v>423</v>
      </c>
      <c r="D48" s="163"/>
      <c r="E48" s="534" t="s">
        <v>423</v>
      </c>
    </row>
  </sheetData>
  <sortState xmlns:xlrd2="http://schemas.microsoft.com/office/spreadsheetml/2017/richdata2" ref="E25:E26">
    <sortCondition ref="E25"/>
  </sortState>
  <mergeCells count="1">
    <mergeCell ref="A3:E3"/>
  </mergeCells>
  <hyperlinks>
    <hyperlink ref="A1" location="Indice!A1" display="Torna indietro" xr:uid="{00000000-0004-0000-01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2">
    <tabColor rgb="FFFF0000"/>
  </sheetPr>
  <dimension ref="A1:AK76"/>
  <sheetViews>
    <sheetView showGridLines="0" zoomScale="85" zoomScaleNormal="85" workbookViewId="0">
      <pane xSplit="1" ySplit="2" topLeftCell="Z20" activePane="bottomRight" state="frozen"/>
      <selection activeCell="Z17" sqref="Z17:AC23"/>
      <selection pane="topRight" activeCell="Z17" sqref="Z17:AC23"/>
      <selection pane="bottomLeft" activeCell="Z17" sqref="Z17:AC23"/>
      <selection pane="bottomRight" activeCell="Z17" sqref="Z17:AC23"/>
    </sheetView>
  </sheetViews>
  <sheetFormatPr defaultRowHeight="14.4"/>
  <cols>
    <col min="1" max="1" width="39.5546875" customWidth="1"/>
    <col min="2" max="4" width="5.5546875" bestFit="1" customWidth="1"/>
    <col min="5" max="5" width="6.77734375" bestFit="1" customWidth="1"/>
    <col min="6" max="9" width="0.77734375" customWidth="1"/>
    <col min="10" max="14" width="6.77734375" bestFit="1" customWidth="1"/>
    <col min="15" max="22" width="7.21875" bestFit="1" customWidth="1"/>
    <col min="23" max="23" width="8.21875" customWidth="1"/>
    <col min="24" max="24" width="7.21875" bestFit="1" customWidth="1"/>
    <col min="25" max="25" width="8.77734375" bestFit="1" customWidth="1"/>
    <col min="26" max="27" width="7.77734375" bestFit="1" customWidth="1"/>
    <col min="28" max="30" width="7.77734375" customWidth="1"/>
    <col min="31" max="32" width="11.77734375" bestFit="1" customWidth="1"/>
    <col min="34" max="35" width="10.21875" bestFit="1" customWidth="1"/>
    <col min="36" max="36" width="9" bestFit="1" customWidth="1"/>
    <col min="42" max="42" width="9.77734375" customWidth="1"/>
    <col min="44" max="44" width="49.21875" bestFit="1" customWidth="1"/>
    <col min="45" max="45" width="11" bestFit="1" customWidth="1"/>
  </cols>
  <sheetData>
    <row r="1" spans="1:35" ht="15.6">
      <c r="A1" s="906" t="s">
        <v>57</v>
      </c>
      <c r="B1" s="906"/>
    </row>
    <row r="3" spans="1:35" ht="15.6">
      <c r="A3" s="1" t="s">
        <v>86</v>
      </c>
    </row>
    <row r="4" spans="1:35">
      <c r="A4" s="908" t="s">
        <v>16</v>
      </c>
      <c r="B4" s="9">
        <v>1997</v>
      </c>
      <c r="C4" s="9">
        <v>1998</v>
      </c>
      <c r="D4" s="9">
        <v>1999</v>
      </c>
      <c r="E4" s="9">
        <v>2000</v>
      </c>
      <c r="F4" s="9">
        <v>2001</v>
      </c>
      <c r="G4" s="9">
        <v>2002</v>
      </c>
      <c r="H4" s="9">
        <v>2003</v>
      </c>
      <c r="I4" s="9">
        <v>2004</v>
      </c>
      <c r="J4" s="9">
        <v>2005</v>
      </c>
      <c r="K4" s="9">
        <v>2006</v>
      </c>
      <c r="L4" s="9">
        <v>2007</v>
      </c>
      <c r="M4" s="9">
        <v>2008</v>
      </c>
      <c r="N4" s="9">
        <v>2009</v>
      </c>
      <c r="O4" s="9">
        <v>2010</v>
      </c>
      <c r="P4" s="9">
        <v>2011</v>
      </c>
      <c r="Q4" s="9">
        <v>2012</v>
      </c>
      <c r="R4" s="9">
        <v>2013</v>
      </c>
      <c r="S4" s="9">
        <v>2014</v>
      </c>
      <c r="T4" s="9">
        <v>2015</v>
      </c>
      <c r="U4" s="9">
        <v>2016</v>
      </c>
      <c r="V4" s="9">
        <v>2017</v>
      </c>
      <c r="W4" s="9">
        <v>2018</v>
      </c>
      <c r="X4" s="9">
        <v>2019</v>
      </c>
      <c r="Y4" s="9">
        <v>2020</v>
      </c>
      <c r="Z4" s="9">
        <v>2021</v>
      </c>
      <c r="AA4" s="9">
        <v>2022</v>
      </c>
      <c r="AB4" s="9">
        <v>2023</v>
      </c>
      <c r="AC4" s="9">
        <v>2024</v>
      </c>
      <c r="AD4" s="853">
        <v>2025</v>
      </c>
    </row>
    <row r="5" spans="1:35">
      <c r="A5" s="908"/>
      <c r="B5" s="11" t="s">
        <v>129</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223"/>
    </row>
    <row r="6" spans="1:35">
      <c r="A6" s="11" t="s">
        <v>411</v>
      </c>
      <c r="B6" s="683">
        <f t="shared" ref="B6:J6" si="0">SUM(B7:B11)</f>
        <v>158.18</v>
      </c>
      <c r="C6" s="683">
        <f t="shared" si="0"/>
        <v>160.34300000000002</v>
      </c>
      <c r="D6" s="683">
        <f t="shared" si="0"/>
        <v>155.73700000000002</v>
      </c>
      <c r="E6" s="187">
        <f t="shared" si="0"/>
        <v>159.56900000000002</v>
      </c>
      <c r="F6" s="187">
        <f t="shared" si="0"/>
        <v>153.21600000000001</v>
      </c>
      <c r="G6" s="322">
        <f>SUM(G7:G11)+0.86</f>
        <v>161.01089999999999</v>
      </c>
      <c r="H6" s="187">
        <f t="shared" si="0"/>
        <v>170.00400000000002</v>
      </c>
      <c r="I6" s="187">
        <f t="shared" si="0"/>
        <v>162.04700000000003</v>
      </c>
      <c r="J6" s="187">
        <f t="shared" si="0"/>
        <v>157.53100000000001</v>
      </c>
      <c r="K6" s="187">
        <f>SUM(K7:K11)</f>
        <v>159.49340000000001</v>
      </c>
      <c r="L6" s="187">
        <f t="shared" ref="L6:U6" si="1">SUM(L7:L11)</f>
        <v>157.09270000000001</v>
      </c>
      <c r="M6" s="187">
        <f t="shared" si="1"/>
        <v>157.48740000000001</v>
      </c>
      <c r="N6" s="187">
        <f t="shared" si="1"/>
        <v>125.5963</v>
      </c>
      <c r="O6" s="187">
        <f t="shared" si="1"/>
        <v>119.00319999999999</v>
      </c>
      <c r="P6" s="187">
        <f t="shared" si="1"/>
        <v>126.1915</v>
      </c>
      <c r="Q6" s="187">
        <f t="shared" si="1"/>
        <v>115.9717</v>
      </c>
      <c r="R6" s="187">
        <f t="shared" si="1"/>
        <v>100.94168000000001</v>
      </c>
      <c r="S6" s="187">
        <f t="shared" si="1"/>
        <v>90.359399999999994</v>
      </c>
      <c r="T6" s="187">
        <f t="shared" si="1"/>
        <v>95.583899999999986</v>
      </c>
      <c r="U6" s="187">
        <f t="shared" si="1"/>
        <v>93.5672</v>
      </c>
      <c r="V6" s="187">
        <f>SUM(V7:V11)</f>
        <v>98.695400000000006</v>
      </c>
      <c r="W6" s="187">
        <f t="shared" ref="W6:AB6" si="2">SUM(W7:W12)</f>
        <v>87.206500000000005</v>
      </c>
      <c r="X6" s="187">
        <f t="shared" si="2"/>
        <v>87.823200000000014</v>
      </c>
      <c r="Y6" s="187">
        <f t="shared" si="2"/>
        <v>80.352500000000006</v>
      </c>
      <c r="Z6" s="187">
        <f t="shared" si="2"/>
        <v>87.54301000000001</v>
      </c>
      <c r="AA6" s="187">
        <f t="shared" si="2"/>
        <v>93.073499999999996</v>
      </c>
      <c r="AB6" s="187">
        <f t="shared" si="2"/>
        <v>65.669899999999998</v>
      </c>
      <c r="AC6" s="187">
        <f>AB6/AB20*AC20</f>
        <v>61.609373785280546</v>
      </c>
      <c r="AD6" s="854"/>
      <c r="AE6" s="311">
        <f t="shared" ref="AE6:AI10" si="3">P7/P$6*100</f>
        <v>2.9115273215707869</v>
      </c>
      <c r="AF6" s="311">
        <f t="shared" si="3"/>
        <v>3.4453232987013216</v>
      </c>
      <c r="AG6" s="311">
        <f t="shared" si="3"/>
        <v>5.483364255479005</v>
      </c>
      <c r="AH6" s="311">
        <f t="shared" si="3"/>
        <v>6.0977607199693677</v>
      </c>
      <c r="AI6" s="311">
        <f t="shared" si="3"/>
        <v>5.1998296784291087</v>
      </c>
    </row>
    <row r="7" spans="1:35">
      <c r="A7" s="10" t="s">
        <v>18</v>
      </c>
      <c r="B7" s="188">
        <v>0.53200000000000003</v>
      </c>
      <c r="C7" s="188">
        <v>0.76700000000000002</v>
      </c>
      <c r="D7" s="188">
        <v>1.048</v>
      </c>
      <c r="E7" s="188">
        <v>1.1950000000000001</v>
      </c>
      <c r="F7" s="188">
        <v>1.244</v>
      </c>
      <c r="G7" s="188">
        <v>1.3878999999999999</v>
      </c>
      <c r="H7" s="188">
        <v>1.444</v>
      </c>
      <c r="I7" s="188">
        <v>1.5669999999999999</v>
      </c>
      <c r="J7" s="188">
        <v>1.603</v>
      </c>
      <c r="K7" s="188">
        <v>1.7178</v>
      </c>
      <c r="L7" s="188">
        <v>1.73</v>
      </c>
      <c r="M7" s="188">
        <v>1.8859000000000001</v>
      </c>
      <c r="N7" s="188">
        <v>2.4624999999999999</v>
      </c>
      <c r="O7" s="188">
        <v>3.0470999999999999</v>
      </c>
      <c r="P7" s="188">
        <v>3.6740999999999997</v>
      </c>
      <c r="Q7" s="188">
        <v>3.9956</v>
      </c>
      <c r="R7" s="188">
        <v>5.5350000000000001</v>
      </c>
      <c r="S7" s="188">
        <v>5.5099</v>
      </c>
      <c r="T7" s="188">
        <v>4.9702000000000002</v>
      </c>
      <c r="U7" s="188">
        <v>4.9139999999999997</v>
      </c>
      <c r="V7" s="188">
        <v>4.7648999999999999</v>
      </c>
      <c r="W7" s="188">
        <v>4.7361500000000003</v>
      </c>
      <c r="X7" s="188">
        <v>4.7519</v>
      </c>
      <c r="Y7" s="188">
        <v>4.6261999999999999</v>
      </c>
      <c r="Z7" s="188">
        <v>4.1310000000000002</v>
      </c>
      <c r="AA7" s="188">
        <v>3.7233000000000001</v>
      </c>
      <c r="AB7" s="188">
        <v>3.2866</v>
      </c>
      <c r="AC7" s="188"/>
      <c r="AD7" s="311"/>
      <c r="AE7" s="311">
        <f t="shared" si="3"/>
        <v>0.20017196086899672</v>
      </c>
      <c r="AF7" s="311">
        <f t="shared" si="3"/>
        <v>0.16512649206659902</v>
      </c>
      <c r="AG7" s="311">
        <f t="shared" si="3"/>
        <v>2.3802853291128101</v>
      </c>
      <c r="AH7" s="311">
        <f t="shared" si="3"/>
        <v>2.8001513954275925</v>
      </c>
      <c r="AI7" s="311">
        <f t="shared" si="3"/>
        <v>3.7173624428381769</v>
      </c>
    </row>
    <row r="8" spans="1:35">
      <c r="A8" s="10" t="s">
        <v>19</v>
      </c>
      <c r="B8" s="189">
        <v>5.2439999999999998</v>
      </c>
      <c r="C8" s="189">
        <v>8.2170000000000005</v>
      </c>
      <c r="D8" s="189">
        <v>11.08</v>
      </c>
      <c r="E8" s="189">
        <v>12.384</v>
      </c>
      <c r="F8" s="189">
        <v>6.327</v>
      </c>
      <c r="G8" s="189">
        <v>8.6950000000000003</v>
      </c>
      <c r="H8" s="189">
        <v>9.0310000000000006</v>
      </c>
      <c r="I8" s="189">
        <v>2.363</v>
      </c>
      <c r="J8" s="189">
        <v>0.85599999999999998</v>
      </c>
      <c r="K8" s="189">
        <v>0.68829999999999991</v>
      </c>
      <c r="L8" s="189">
        <v>0.56579999999999997</v>
      </c>
      <c r="M8" s="189">
        <v>0.62220000000000009</v>
      </c>
      <c r="N8" s="189">
        <v>0.50060000000000004</v>
      </c>
      <c r="O8" s="189">
        <v>0.35680000000000001</v>
      </c>
      <c r="P8" s="189">
        <v>0.25259999999999999</v>
      </c>
      <c r="Q8" s="189">
        <v>0.1915</v>
      </c>
      <c r="R8" s="189">
        <v>2.4026999999999998</v>
      </c>
      <c r="S8" s="189">
        <v>2.5301999999999998</v>
      </c>
      <c r="T8" s="189">
        <v>3.5531999999999999</v>
      </c>
      <c r="U8" s="189">
        <v>0.42180000000000001</v>
      </c>
      <c r="V8" s="189">
        <v>0.59279999999999999</v>
      </c>
      <c r="W8" s="189">
        <v>0.29849999999999999</v>
      </c>
      <c r="X8" s="189">
        <v>1.2664</v>
      </c>
      <c r="Y8" s="189">
        <v>1.2654000000000001</v>
      </c>
      <c r="Z8" s="189">
        <v>0.6724</v>
      </c>
      <c r="AA8" s="189">
        <v>0.23269999999999999</v>
      </c>
      <c r="AB8" s="189">
        <v>0.25309999999999999</v>
      </c>
      <c r="AC8" s="189"/>
      <c r="AD8" s="311"/>
      <c r="AE8" s="311">
        <f t="shared" si="3"/>
        <v>44.313919717255125</v>
      </c>
      <c r="AF8" s="311">
        <f t="shared" si="3"/>
        <v>51.073063514633311</v>
      </c>
      <c r="AG8" s="311">
        <f t="shared" si="3"/>
        <v>53.688070180722171</v>
      </c>
      <c r="AH8" s="311">
        <f t="shared" si="3"/>
        <v>58.155211300650514</v>
      </c>
      <c r="AI8" s="311">
        <f t="shared" si="3"/>
        <v>53.360660111169352</v>
      </c>
    </row>
    <row r="9" spans="1:35">
      <c r="A9" s="10" t="s">
        <v>20</v>
      </c>
      <c r="B9" s="188">
        <v>152.404</v>
      </c>
      <c r="C9" s="188">
        <v>151.35900000000001</v>
      </c>
      <c r="D9" s="188">
        <v>143.60900000000001</v>
      </c>
      <c r="E9" s="188">
        <v>139.11199999999999</v>
      </c>
      <c r="F9" s="188">
        <v>134.916</v>
      </c>
      <c r="G9" s="188">
        <v>135.05799999999999</v>
      </c>
      <c r="H9" s="188">
        <v>131.86600000000001</v>
      </c>
      <c r="I9" s="188">
        <v>97.424000000000007</v>
      </c>
      <c r="J9" s="188">
        <v>78.251000000000005</v>
      </c>
      <c r="K9" s="188">
        <v>73.638600000000011</v>
      </c>
      <c r="L9" s="188">
        <v>64.773099999999999</v>
      </c>
      <c r="M9" s="188">
        <v>62.712699999999998</v>
      </c>
      <c r="N9" s="188">
        <v>55.952500000000001</v>
      </c>
      <c r="O9" s="188">
        <v>52.119199999999999</v>
      </c>
      <c r="P9" s="188">
        <v>55.920400000000001</v>
      </c>
      <c r="Q9" s="188">
        <v>59.2303</v>
      </c>
      <c r="R9" s="188">
        <v>54.193640000000002</v>
      </c>
      <c r="S9" s="188">
        <v>52.548699999999997</v>
      </c>
      <c r="T9" s="188">
        <v>51.004199999999997</v>
      </c>
      <c r="U9" s="188">
        <v>42.017600000000002</v>
      </c>
      <c r="V9" s="188">
        <v>38.959899999999998</v>
      </c>
      <c r="W9" s="188">
        <v>33.8551</v>
      </c>
      <c r="X9" s="188">
        <v>24.166</v>
      </c>
      <c r="Y9" s="188">
        <v>18.802399999999999</v>
      </c>
      <c r="Z9" s="188">
        <v>20.761500000000002</v>
      </c>
      <c r="AA9" s="188">
        <v>32.659599999999998</v>
      </c>
      <c r="AB9" s="188">
        <v>19.094200000000001</v>
      </c>
      <c r="AC9" s="188"/>
      <c r="AD9" s="311"/>
      <c r="AE9" s="311">
        <f t="shared" si="3"/>
        <v>52.289258785258909</v>
      </c>
      <c r="AF9" s="311">
        <f t="shared" si="3"/>
        <v>45.023225493805811</v>
      </c>
      <c r="AG9" s="311">
        <f t="shared" si="3"/>
        <v>38.391316649376151</v>
      </c>
      <c r="AH9" s="311">
        <f t="shared" si="3"/>
        <v>32.94289249375273</v>
      </c>
      <c r="AI9" s="311">
        <f t="shared" si="3"/>
        <v>37.718276822770363</v>
      </c>
    </row>
    <row r="10" spans="1:35">
      <c r="A10" s="10" t="s">
        <v>21</v>
      </c>
      <c r="B10" s="189" t="s">
        <v>22</v>
      </c>
      <c r="C10" s="189" t="s">
        <v>22</v>
      </c>
      <c r="D10" s="189" t="s">
        <v>22</v>
      </c>
      <c r="E10" s="189">
        <v>6.8780000000000001</v>
      </c>
      <c r="F10" s="189">
        <v>10.728999999999999</v>
      </c>
      <c r="G10" s="189">
        <v>15.01</v>
      </c>
      <c r="H10" s="189">
        <v>27.663</v>
      </c>
      <c r="I10" s="189">
        <v>41.588999999999999</v>
      </c>
      <c r="J10" s="189">
        <v>58.701999999999998</v>
      </c>
      <c r="K10" s="189">
        <v>65.25030000000001</v>
      </c>
      <c r="L10" s="189">
        <v>78.036500000000004</v>
      </c>
      <c r="M10" s="189">
        <v>86.795400000000001</v>
      </c>
      <c r="N10" s="189">
        <v>64.558400000000006</v>
      </c>
      <c r="O10" s="189">
        <v>62.568300000000001</v>
      </c>
      <c r="P10" s="189">
        <v>65.9846</v>
      </c>
      <c r="Q10" s="189">
        <v>52.214199999999998</v>
      </c>
      <c r="R10" s="189">
        <v>38.752839999999999</v>
      </c>
      <c r="S10" s="188">
        <v>29.766999999999999</v>
      </c>
      <c r="T10" s="188">
        <v>36.052599999999998</v>
      </c>
      <c r="U10" s="188">
        <v>46.213799999999999</v>
      </c>
      <c r="V10" s="188">
        <v>54.377800000000001</v>
      </c>
      <c r="W10" s="188">
        <v>48.316749999999999</v>
      </c>
      <c r="X10" s="188">
        <v>57.638800000000003</v>
      </c>
      <c r="Y10" s="188">
        <v>55.6584</v>
      </c>
      <c r="Z10" s="188">
        <v>61.978000000000002</v>
      </c>
      <c r="AA10" s="188">
        <v>56.457799999999999</v>
      </c>
      <c r="AB10" s="188">
        <v>43.032299999999999</v>
      </c>
      <c r="AC10" s="188"/>
      <c r="AD10" s="311"/>
      <c r="AE10" s="311">
        <f t="shared" si="3"/>
        <v>0.28512221504617979</v>
      </c>
      <c r="AF10" s="311">
        <f t="shared" si="3"/>
        <v>0.29326120079295209</v>
      </c>
      <c r="AG10" s="311">
        <f t="shared" si="3"/>
        <v>5.6963585309854167E-2</v>
      </c>
      <c r="AH10" s="311">
        <f t="shared" si="3"/>
        <v>3.9840901998021237E-3</v>
      </c>
      <c r="AI10" s="311">
        <f t="shared" si="3"/>
        <v>3.8709447930038434E-3</v>
      </c>
    </row>
    <row r="11" spans="1:35">
      <c r="A11" s="10" t="s">
        <v>23</v>
      </c>
      <c r="B11" s="188" t="s">
        <v>22</v>
      </c>
      <c r="C11" s="188" t="s">
        <v>22</v>
      </c>
      <c r="D11" s="188" t="s">
        <v>22</v>
      </c>
      <c r="E11" s="188" t="s">
        <v>22</v>
      </c>
      <c r="F11" s="188" t="s">
        <v>22</v>
      </c>
      <c r="G11" s="188" t="s">
        <v>22</v>
      </c>
      <c r="H11" s="188" t="s">
        <v>22</v>
      </c>
      <c r="I11" s="188">
        <v>19.103999999999999</v>
      </c>
      <c r="J11" s="188">
        <v>18.119</v>
      </c>
      <c r="K11" s="188">
        <v>18.198400000000003</v>
      </c>
      <c r="L11" s="188">
        <v>11.987299999999999</v>
      </c>
      <c r="M11" s="188">
        <v>5.4711999999999996</v>
      </c>
      <c r="N11" s="188">
        <v>2.1223000000000001</v>
      </c>
      <c r="O11" s="188">
        <v>0.91179999999999994</v>
      </c>
      <c r="P11" s="188">
        <v>0.35980000000000001</v>
      </c>
      <c r="Q11" s="188">
        <v>0.34010000000000001</v>
      </c>
      <c r="R11" s="188">
        <v>5.7500000000000002E-2</v>
      </c>
      <c r="S11" s="188">
        <v>3.5999999999999999E-3</v>
      </c>
      <c r="T11" s="188">
        <v>3.7000000000000002E-3</v>
      </c>
      <c r="U11" s="188">
        <v>0</v>
      </c>
      <c r="V11" s="188"/>
      <c r="W11" s="188"/>
      <c r="X11" s="188">
        <v>0</v>
      </c>
      <c r="Y11" s="188">
        <v>0</v>
      </c>
      <c r="Z11" s="188">
        <v>0</v>
      </c>
      <c r="AA11" s="188">
        <v>0</v>
      </c>
      <c r="AB11" s="188">
        <v>0</v>
      </c>
      <c r="AC11" s="188"/>
      <c r="AD11" s="311"/>
      <c r="AE11" s="311">
        <f>P13/P$6*100</f>
        <v>80.440283220343673</v>
      </c>
      <c r="AF11" s="311">
        <f>Q13/Q$6*100</f>
        <v>86.951213097678149</v>
      </c>
      <c r="AG11" s="311">
        <f>R13/R$6*100</f>
        <v>90.441173556849847</v>
      </c>
      <c r="AH11" s="311">
        <f>S13/S$6*100</f>
        <v>94.23557482674741</v>
      </c>
      <c r="AI11" s="311">
        <f>T13/T$6*100</f>
        <v>100.30402609644513</v>
      </c>
    </row>
    <row r="12" spans="1:35">
      <c r="A12" s="10" t="s">
        <v>387</v>
      </c>
      <c r="B12" s="188"/>
      <c r="C12" s="188"/>
      <c r="D12" s="188"/>
      <c r="E12" s="188"/>
      <c r="F12" s="188"/>
      <c r="G12" s="188"/>
      <c r="H12" s="188"/>
      <c r="I12" s="188"/>
      <c r="J12" s="188"/>
      <c r="K12" s="188"/>
      <c r="L12" s="188"/>
      <c r="M12" s="188"/>
      <c r="N12" s="188"/>
      <c r="O12" s="188"/>
      <c r="P12" s="188"/>
      <c r="Q12" s="188"/>
      <c r="R12" s="188"/>
      <c r="S12" s="188"/>
      <c r="T12" s="188"/>
      <c r="U12" s="188"/>
      <c r="V12" s="188"/>
      <c r="W12" s="188"/>
      <c r="X12" s="188">
        <v>1E-4</v>
      </c>
      <c r="Y12" s="188">
        <v>1E-4</v>
      </c>
      <c r="Z12" s="188">
        <v>1.1E-4</v>
      </c>
      <c r="AA12" s="188">
        <v>1E-4</v>
      </c>
      <c r="AB12" s="188">
        <f>3.7/1000</f>
        <v>3.7000000000000002E-3</v>
      </c>
      <c r="AC12" s="188"/>
      <c r="AD12" s="311"/>
      <c r="AE12" s="311"/>
      <c r="AF12" s="311"/>
      <c r="AG12" s="311"/>
      <c r="AH12" s="311"/>
      <c r="AI12" s="311"/>
    </row>
    <row r="13" spans="1:35">
      <c r="A13" s="11" t="s">
        <v>412</v>
      </c>
      <c r="B13" s="138">
        <f t="shared" ref="B13:U13" si="4">SUM(B14:B18)</f>
        <v>42.014000000000003</v>
      </c>
      <c r="C13" s="138">
        <f t="shared" si="4"/>
        <v>46.9</v>
      </c>
      <c r="D13" s="138">
        <f t="shared" si="4"/>
        <v>52.673999999999999</v>
      </c>
      <c r="E13" s="138">
        <f t="shared" si="4"/>
        <v>60.100999999999999</v>
      </c>
      <c r="F13" s="138">
        <f t="shared" si="4"/>
        <v>65.341000000000008</v>
      </c>
      <c r="G13" s="309">
        <f>SUM(G14:G18)</f>
        <v>70.149000000000001</v>
      </c>
      <c r="H13" s="138">
        <f t="shared" si="4"/>
        <v>71.891999999999996</v>
      </c>
      <c r="I13" s="309">
        <f t="shared" si="4"/>
        <v>83.13</v>
      </c>
      <c r="J13" s="138">
        <f t="shared" si="4"/>
        <v>94.426999999999992</v>
      </c>
      <c r="K13" s="138">
        <f t="shared" si="4"/>
        <v>101.6439</v>
      </c>
      <c r="L13" s="138">
        <f t="shared" si="4"/>
        <v>107.6504</v>
      </c>
      <c r="M13" s="138">
        <f t="shared" si="4"/>
        <v>102.9247</v>
      </c>
      <c r="N13" s="138">
        <f t="shared" si="4"/>
        <v>100.43929999999999</v>
      </c>
      <c r="O13" s="138">
        <f t="shared" si="4"/>
        <v>111.468</v>
      </c>
      <c r="P13" s="138">
        <f t="shared" si="4"/>
        <v>101.50879999999999</v>
      </c>
      <c r="Q13" s="138">
        <f t="shared" si="4"/>
        <v>100.83880000000001</v>
      </c>
      <c r="R13" s="138">
        <f t="shared" si="4"/>
        <v>91.292839999999984</v>
      </c>
      <c r="S13" s="138">
        <f t="shared" si="4"/>
        <v>85.150700000000001</v>
      </c>
      <c r="T13" s="138">
        <f t="shared" si="4"/>
        <v>95.874499999999998</v>
      </c>
      <c r="U13" s="138">
        <f t="shared" si="4"/>
        <v>105.1268</v>
      </c>
      <c r="V13" s="138">
        <f>SUM(V14:V18)</f>
        <v>110.12809999999999</v>
      </c>
      <c r="W13" s="138">
        <f t="shared" ref="W13:AB13" si="5">SUM(W14:W19)</f>
        <v>104.9207</v>
      </c>
      <c r="X13" s="138">
        <f t="shared" si="5"/>
        <v>107.2608</v>
      </c>
      <c r="Y13" s="138">
        <f t="shared" si="5"/>
        <v>100.4525</v>
      </c>
      <c r="Z13" s="138">
        <f t="shared" si="5"/>
        <v>101.58919999999999</v>
      </c>
      <c r="AA13" s="138">
        <f t="shared" si="5"/>
        <v>105.4415</v>
      </c>
      <c r="AB13" s="138">
        <f t="shared" si="5"/>
        <v>96.304400000000001</v>
      </c>
      <c r="AC13" s="187">
        <f>AB13/AB20*AC20</f>
        <v>90.349669738604334</v>
      </c>
      <c r="AD13" s="854"/>
    </row>
    <row r="14" spans="1:35">
      <c r="A14" s="10" t="s">
        <v>25</v>
      </c>
      <c r="B14" s="188">
        <v>0.98399999999999999</v>
      </c>
      <c r="C14" s="188">
        <v>1.056</v>
      </c>
      <c r="D14" s="188">
        <v>1.224</v>
      </c>
      <c r="E14" s="188">
        <v>1.361</v>
      </c>
      <c r="F14" s="188">
        <v>1.3919999999999999</v>
      </c>
      <c r="G14" s="188">
        <v>1.5720000000000001</v>
      </c>
      <c r="H14" s="188">
        <v>1.7110000000000001</v>
      </c>
      <c r="I14" s="188">
        <v>1.919</v>
      </c>
      <c r="J14" s="188">
        <v>2.2589999999999999</v>
      </c>
      <c r="K14" s="188">
        <v>2.5605000000000002</v>
      </c>
      <c r="L14" s="188">
        <v>2.7311999999999999</v>
      </c>
      <c r="M14" s="188">
        <v>3.0124</v>
      </c>
      <c r="N14" s="188">
        <v>3.8353999999999999</v>
      </c>
      <c r="O14" s="188">
        <v>5.5973000000000006</v>
      </c>
      <c r="P14" s="188">
        <v>7.0137</v>
      </c>
      <c r="Q14" s="188">
        <v>8.226799999999999</v>
      </c>
      <c r="R14" s="188">
        <v>10.6317</v>
      </c>
      <c r="S14" s="188">
        <v>12.433299999999999</v>
      </c>
      <c r="T14" s="188">
        <v>14.3512</v>
      </c>
      <c r="U14" s="188">
        <v>15.2064</v>
      </c>
      <c r="V14" s="188">
        <v>16.270800000000001</v>
      </c>
      <c r="W14" s="188">
        <v>17.142099999999999</v>
      </c>
      <c r="X14" s="188">
        <v>18.1188</v>
      </c>
      <c r="Y14" s="188">
        <v>18.452100000000002</v>
      </c>
      <c r="Z14" s="188">
        <v>19.538599999999999</v>
      </c>
      <c r="AA14" s="188">
        <v>18.660799999999998</v>
      </c>
      <c r="AB14" s="188">
        <v>18.9758</v>
      </c>
      <c r="AC14" s="188"/>
      <c r="AD14" s="311"/>
      <c r="AE14" s="311">
        <f t="shared" ref="AE14:AI18" si="6">P14/P$13*100</f>
        <v>6.9094502151537602</v>
      </c>
      <c r="AF14" s="311">
        <f t="shared" si="6"/>
        <v>8.1583676124666287</v>
      </c>
      <c r="AG14" s="311">
        <f t="shared" si="6"/>
        <v>11.645710660332181</v>
      </c>
      <c r="AH14" s="311">
        <f t="shared" si="6"/>
        <v>14.601524121351908</v>
      </c>
      <c r="AI14" s="311">
        <f t="shared" si="6"/>
        <v>14.968735169414183</v>
      </c>
    </row>
    <row r="15" spans="1:35">
      <c r="A15" s="10" t="s">
        <v>26</v>
      </c>
      <c r="B15" s="188">
        <v>3.262</v>
      </c>
      <c r="C15" s="188">
        <v>3.548</v>
      </c>
      <c r="D15" s="188">
        <v>4.4109999999999996</v>
      </c>
      <c r="E15" s="188">
        <v>4.9619999999999997</v>
      </c>
      <c r="F15" s="188">
        <v>4.9029999999999996</v>
      </c>
      <c r="G15" s="188">
        <v>4.8559999999999999</v>
      </c>
      <c r="H15" s="188">
        <v>4.8949999999999996</v>
      </c>
      <c r="I15" s="188">
        <v>5.3869999999999996</v>
      </c>
      <c r="J15" s="188">
        <v>6.077</v>
      </c>
      <c r="K15" s="188">
        <v>5.3181000000000003</v>
      </c>
      <c r="L15" s="188">
        <v>6.0095000000000001</v>
      </c>
      <c r="M15" s="188">
        <v>5.3033999999999999</v>
      </c>
      <c r="N15" s="188">
        <v>3.827</v>
      </c>
      <c r="O15" s="188">
        <v>3.8369</v>
      </c>
      <c r="P15" s="188">
        <v>4.2231999999999994</v>
      </c>
      <c r="Q15" s="188">
        <v>3.8921999999999999</v>
      </c>
      <c r="R15" s="188">
        <v>3.7936000000000001</v>
      </c>
      <c r="S15" s="188">
        <v>4.1523000000000003</v>
      </c>
      <c r="T15" s="188">
        <v>4.6656000000000004</v>
      </c>
      <c r="U15" s="188">
        <v>4.8830999999999998</v>
      </c>
      <c r="V15" s="188">
        <v>4.9763999999999999</v>
      </c>
      <c r="W15" s="188">
        <v>4.9592999999999998</v>
      </c>
      <c r="X15" s="188">
        <v>5.2671000000000001</v>
      </c>
      <c r="Y15" s="188">
        <v>4.9241000000000001</v>
      </c>
      <c r="Z15" s="188">
        <v>8.0336999999999996</v>
      </c>
      <c r="AA15" s="188">
        <v>6.5659999999999998</v>
      </c>
      <c r="AB15" s="188">
        <v>5.4740000000000002</v>
      </c>
      <c r="AC15" s="188"/>
      <c r="AD15" s="311"/>
      <c r="AE15" s="311">
        <f t="shared" si="6"/>
        <v>4.1604274703276953</v>
      </c>
      <c r="AF15" s="311">
        <f t="shared" si="6"/>
        <v>3.8598237979825223</v>
      </c>
      <c r="AG15" s="311">
        <f t="shared" si="6"/>
        <v>4.1554189791882923</v>
      </c>
      <c r="AH15" s="311">
        <f t="shared" si="6"/>
        <v>4.8764132297209537</v>
      </c>
      <c r="AI15" s="311">
        <f t="shared" si="6"/>
        <v>4.86636175416821</v>
      </c>
    </row>
    <row r="16" spans="1:35">
      <c r="A16" s="10" t="s">
        <v>27</v>
      </c>
      <c r="B16" s="188">
        <v>21.29</v>
      </c>
      <c r="C16" s="188">
        <v>26.125</v>
      </c>
      <c r="D16" s="188">
        <v>31.004999999999999</v>
      </c>
      <c r="E16" s="188">
        <v>36.966999999999999</v>
      </c>
      <c r="F16" s="188">
        <v>43.219000000000001</v>
      </c>
      <c r="G16" s="188">
        <v>47.972000000000001</v>
      </c>
      <c r="H16" s="188">
        <v>49.646000000000001</v>
      </c>
      <c r="I16" s="188">
        <v>61.287999999999997</v>
      </c>
      <c r="J16" s="188">
        <v>72.671999999999997</v>
      </c>
      <c r="K16" s="188">
        <v>82.054199999999994</v>
      </c>
      <c r="L16" s="188">
        <v>88.139499999999998</v>
      </c>
      <c r="M16" s="188">
        <v>85.166800000000009</v>
      </c>
      <c r="N16" s="188">
        <v>85.073399999999992</v>
      </c>
      <c r="O16" s="188">
        <v>94.257800000000003</v>
      </c>
      <c r="P16" s="188">
        <v>82.937699999999992</v>
      </c>
      <c r="Q16" s="188">
        <v>82.433300000000003</v>
      </c>
      <c r="R16" s="188">
        <v>70.861539999999991</v>
      </c>
      <c r="S16" s="188">
        <v>62.533000000000001</v>
      </c>
      <c r="T16" s="188">
        <v>69.424499999999995</v>
      </c>
      <c r="U16" s="188">
        <v>77.8566</v>
      </c>
      <c r="V16" s="188">
        <v>81.611999999999995</v>
      </c>
      <c r="W16" s="188">
        <v>75.787499999999994</v>
      </c>
      <c r="X16" s="188">
        <v>76.655199999999994</v>
      </c>
      <c r="Y16" s="188">
        <v>69.849599999999995</v>
      </c>
      <c r="Z16" s="188">
        <v>66.951599999999999</v>
      </c>
      <c r="AA16" s="188">
        <v>72.958200000000005</v>
      </c>
      <c r="AB16" s="188">
        <v>65.280799999999999</v>
      </c>
      <c r="AC16" s="188"/>
      <c r="AD16" s="311"/>
      <c r="AE16" s="311">
        <f t="shared" si="6"/>
        <v>81.704935926737392</v>
      </c>
      <c r="AF16" s="311">
        <f t="shared" si="6"/>
        <v>81.74760112179041</v>
      </c>
      <c r="AG16" s="311">
        <f t="shared" si="6"/>
        <v>77.620041177380401</v>
      </c>
      <c r="AH16" s="311">
        <f t="shared" si="6"/>
        <v>73.438033979755886</v>
      </c>
      <c r="AI16" s="311">
        <f t="shared" si="6"/>
        <v>72.411850909261588</v>
      </c>
    </row>
    <row r="17" spans="1:35">
      <c r="A17" s="10" t="s">
        <v>28</v>
      </c>
      <c r="B17" s="188">
        <v>6.1639999999999997</v>
      </c>
      <c r="C17" s="188">
        <v>6.2350000000000003</v>
      </c>
      <c r="D17" s="188">
        <v>6.2350000000000003</v>
      </c>
      <c r="E17" s="188">
        <v>6.117</v>
      </c>
      <c r="F17" s="188">
        <v>5.6429999999999998</v>
      </c>
      <c r="G17" s="188">
        <v>5.681</v>
      </c>
      <c r="H17" s="188">
        <v>5.4539999999999997</v>
      </c>
      <c r="I17" s="188">
        <v>5.4139999999999997</v>
      </c>
      <c r="J17" s="188">
        <v>5.343</v>
      </c>
      <c r="K17" s="188">
        <v>4.3828000000000005</v>
      </c>
      <c r="L17" s="188">
        <v>4.0884</v>
      </c>
      <c r="M17" s="188">
        <v>3.6160999999999999</v>
      </c>
      <c r="N17" s="188">
        <v>2.6655000000000002</v>
      </c>
      <c r="O17" s="188">
        <v>2.4169999999999998</v>
      </c>
      <c r="P17" s="188">
        <v>2.1614</v>
      </c>
      <c r="Q17" s="188">
        <v>1.9870999999999999</v>
      </c>
      <c r="R17" s="188">
        <v>1.754</v>
      </c>
      <c r="S17" s="188">
        <v>1.5714999999999999</v>
      </c>
      <c r="T17" s="188">
        <v>1.5659000000000001</v>
      </c>
      <c r="U17" s="188">
        <v>1.5256000000000001</v>
      </c>
      <c r="V17" s="188">
        <v>1.4595</v>
      </c>
      <c r="W17" s="188">
        <v>1.4524999999999999</v>
      </c>
      <c r="X17" s="188">
        <v>1.4655</v>
      </c>
      <c r="Y17" s="188">
        <v>1.3524</v>
      </c>
      <c r="Z17" s="188">
        <v>1.3571</v>
      </c>
      <c r="AA17" s="188">
        <v>1.2849999999999999</v>
      </c>
      <c r="AB17" s="188">
        <v>1.1686000000000001</v>
      </c>
      <c r="AC17" s="188"/>
      <c r="AD17" s="311"/>
      <c r="AE17" s="311">
        <f t="shared" si="6"/>
        <v>2.1292735211134404</v>
      </c>
      <c r="AF17" s="311">
        <f t="shared" si="6"/>
        <v>1.9705708516959737</v>
      </c>
      <c r="AG17" s="311">
        <f t="shared" si="6"/>
        <v>1.9212897747512294</v>
      </c>
      <c r="AH17" s="311">
        <f t="shared" si="6"/>
        <v>1.8455514752080719</v>
      </c>
      <c r="AI17" s="311">
        <f t="shared" si="6"/>
        <v>1.6332810079843965</v>
      </c>
    </row>
    <row r="18" spans="1:35">
      <c r="A18" s="10" t="s">
        <v>29</v>
      </c>
      <c r="B18" s="188">
        <v>10.314</v>
      </c>
      <c r="C18" s="188">
        <v>9.9359999999999999</v>
      </c>
      <c r="D18" s="188">
        <v>9.7989999999999995</v>
      </c>
      <c r="E18" s="188">
        <v>10.694000000000001</v>
      </c>
      <c r="F18" s="188">
        <v>10.183999999999999</v>
      </c>
      <c r="G18" s="188">
        <v>10.068</v>
      </c>
      <c r="H18" s="188">
        <v>10.186</v>
      </c>
      <c r="I18" s="188">
        <v>9.1219999999999999</v>
      </c>
      <c r="J18" s="188">
        <v>8.0760000000000005</v>
      </c>
      <c r="K18" s="188">
        <v>7.3283000000000005</v>
      </c>
      <c r="L18" s="188">
        <v>6.6818</v>
      </c>
      <c r="M18" s="188">
        <v>5.8259999999999996</v>
      </c>
      <c r="N18" s="188">
        <v>5.0380000000000003</v>
      </c>
      <c r="O18" s="188">
        <v>5.359</v>
      </c>
      <c r="P18" s="188">
        <v>5.1728000000000005</v>
      </c>
      <c r="Q18" s="188">
        <v>4.2993999999999994</v>
      </c>
      <c r="R18" s="188">
        <v>4.2519999999999998</v>
      </c>
      <c r="S18" s="188">
        <v>4.4606000000000003</v>
      </c>
      <c r="T18" s="188">
        <v>5.8673000000000002</v>
      </c>
      <c r="U18" s="188">
        <v>5.6551</v>
      </c>
      <c r="V18" s="188">
        <v>5.8094000000000001</v>
      </c>
      <c r="W18" s="188">
        <v>5.5792999999999999</v>
      </c>
      <c r="X18" s="188">
        <v>5.7538</v>
      </c>
      <c r="Y18" s="188">
        <v>5.8738999999999999</v>
      </c>
      <c r="Z18" s="188">
        <v>5.7079000000000004</v>
      </c>
      <c r="AA18" s="188">
        <v>5.9713000000000003</v>
      </c>
      <c r="AB18" s="188">
        <v>5.4051</v>
      </c>
      <c r="AC18" s="188"/>
      <c r="AD18" s="311"/>
      <c r="AE18" s="311">
        <f t="shared" si="6"/>
        <v>5.0959128666677183</v>
      </c>
      <c r="AF18" s="311">
        <f t="shared" si="6"/>
        <v>4.263636616064451</v>
      </c>
      <c r="AG18" s="311">
        <f t="shared" si="6"/>
        <v>4.6575394083479065</v>
      </c>
      <c r="AH18" s="311">
        <f t="shared" si="6"/>
        <v>5.238477193963174</v>
      </c>
      <c r="AI18" s="311">
        <f t="shared" si="6"/>
        <v>6.1197711591716253</v>
      </c>
    </row>
    <row r="19" spans="1:35">
      <c r="A19" s="10" t="s">
        <v>389</v>
      </c>
      <c r="B19" s="188"/>
      <c r="C19" s="188"/>
      <c r="D19" s="188"/>
      <c r="E19" s="188"/>
      <c r="F19" s="188"/>
      <c r="G19" s="188"/>
      <c r="H19" s="188"/>
      <c r="I19" s="188"/>
      <c r="J19" s="188"/>
      <c r="K19" s="188"/>
      <c r="L19" s="188"/>
      <c r="M19" s="188"/>
      <c r="N19" s="188"/>
      <c r="O19" s="188"/>
      <c r="P19" s="188"/>
      <c r="Q19" s="188"/>
      <c r="R19" s="188"/>
      <c r="S19" s="188"/>
      <c r="T19" s="188"/>
      <c r="U19" s="188"/>
      <c r="V19" s="188"/>
      <c r="W19" s="188"/>
      <c r="X19" s="188">
        <v>4.0000000000000002E-4</v>
      </c>
      <c r="Y19" s="188">
        <v>4.0000000000000002E-4</v>
      </c>
      <c r="Z19" s="188">
        <v>2.9999999999999997E-4</v>
      </c>
      <c r="AA19" s="188">
        <v>2.0000000000000001E-4</v>
      </c>
      <c r="AB19" s="188">
        <f>0.1/1000</f>
        <v>1E-4</v>
      </c>
      <c r="AC19" s="188"/>
      <c r="AD19" s="311"/>
      <c r="AE19" s="501"/>
      <c r="AF19" s="311"/>
      <c r="AG19" s="311"/>
      <c r="AH19" s="311"/>
      <c r="AI19" s="311"/>
    </row>
    <row r="20" spans="1:35">
      <c r="A20" s="11" t="s">
        <v>50</v>
      </c>
      <c r="B20" s="643">
        <f t="shared" ref="B20:J20" si="7">B6+B13</f>
        <v>200.19400000000002</v>
      </c>
      <c r="C20" s="643">
        <f t="shared" si="7"/>
        <v>207.24300000000002</v>
      </c>
      <c r="D20" s="643">
        <f t="shared" si="7"/>
        <v>208.41100000000003</v>
      </c>
      <c r="E20" s="138">
        <f t="shared" si="7"/>
        <v>219.67000000000002</v>
      </c>
      <c r="F20" s="138">
        <f t="shared" si="7"/>
        <v>218.55700000000002</v>
      </c>
      <c r="G20" s="138">
        <f t="shared" si="7"/>
        <v>231.15989999999999</v>
      </c>
      <c r="H20" s="138">
        <f t="shared" si="7"/>
        <v>241.89600000000002</v>
      </c>
      <c r="I20" s="138">
        <f t="shared" si="7"/>
        <v>245.17700000000002</v>
      </c>
      <c r="J20" s="138">
        <f t="shared" si="7"/>
        <v>251.958</v>
      </c>
      <c r="K20" s="138">
        <f>K6+K13</f>
        <v>261.13729999999998</v>
      </c>
      <c r="L20" s="138">
        <f>L6+L13</f>
        <v>264.74310000000003</v>
      </c>
      <c r="M20" s="138">
        <f>M6+M13</f>
        <v>260.41210000000001</v>
      </c>
      <c r="N20" s="138">
        <f>N6+N13</f>
        <v>226.03559999999999</v>
      </c>
      <c r="O20" s="138">
        <f>O6+O13</f>
        <v>230.47120000000001</v>
      </c>
      <c r="P20" s="138">
        <f t="shared" ref="P20:U20" si="8">P6+P13</f>
        <v>227.7003</v>
      </c>
      <c r="Q20" s="138">
        <f t="shared" si="8"/>
        <v>216.81049999999999</v>
      </c>
      <c r="R20" s="138">
        <f t="shared" si="8"/>
        <v>192.23451999999997</v>
      </c>
      <c r="S20" s="138">
        <f t="shared" si="8"/>
        <v>175.51009999999999</v>
      </c>
      <c r="T20" s="138">
        <f t="shared" si="8"/>
        <v>191.45839999999998</v>
      </c>
      <c r="U20" s="138">
        <f t="shared" si="8"/>
        <v>198.69400000000002</v>
      </c>
      <c r="V20" s="138">
        <f t="shared" ref="V20:AB20" si="9">V6+V13</f>
        <v>208.8235</v>
      </c>
      <c r="W20" s="138">
        <f t="shared" si="9"/>
        <v>192.12720000000002</v>
      </c>
      <c r="X20" s="138">
        <f t="shared" si="9"/>
        <v>195.084</v>
      </c>
      <c r="Y20" s="138">
        <f t="shared" si="9"/>
        <v>180.80500000000001</v>
      </c>
      <c r="Z20" s="138">
        <f t="shared" si="9"/>
        <v>189.13220999999999</v>
      </c>
      <c r="AA20" s="138">
        <f t="shared" si="9"/>
        <v>198.51499999999999</v>
      </c>
      <c r="AB20" s="138">
        <f t="shared" si="9"/>
        <v>161.9743</v>
      </c>
      <c r="AC20" s="138">
        <f>'1'!AJ12</f>
        <v>151.95904352388487</v>
      </c>
      <c r="AD20" s="854"/>
    </row>
    <row r="22" spans="1:35">
      <c r="E22" s="56">
        <f>E13/E20</f>
        <v>0.27359675877452538</v>
      </c>
      <c r="F22" s="56"/>
      <c r="G22" s="56"/>
      <c r="H22" s="56"/>
      <c r="I22" s="56"/>
      <c r="J22" s="56">
        <f>J13/J20</f>
        <v>0.37477277959024913</v>
      </c>
      <c r="K22" s="56">
        <f t="shared" ref="K22:U22" si="10">K13/K20</f>
        <v>0.38923547114870227</v>
      </c>
      <c r="L22" s="56">
        <f t="shared" si="10"/>
        <v>0.4066221178191235</v>
      </c>
      <c r="M22" s="56">
        <f t="shared" si="10"/>
        <v>0.39523777888969058</v>
      </c>
      <c r="N22" s="56">
        <f t="shared" si="10"/>
        <v>0.444351686194564</v>
      </c>
      <c r="O22" s="56">
        <f t="shared" si="10"/>
        <v>0.48365262123857555</v>
      </c>
      <c r="P22" s="56">
        <f t="shared" si="10"/>
        <v>0.44580002749227821</v>
      </c>
      <c r="Q22" s="56">
        <f t="shared" si="10"/>
        <v>0.46510109058371257</v>
      </c>
      <c r="R22" s="56">
        <f t="shared" si="10"/>
        <v>0.47490346686952994</v>
      </c>
      <c r="S22" s="56">
        <f t="shared" si="10"/>
        <v>0.48516125282818484</v>
      </c>
      <c r="T22" s="56">
        <f t="shared" si="10"/>
        <v>0.50075891159646169</v>
      </c>
      <c r="U22" s="56">
        <f t="shared" si="10"/>
        <v>0.52908895084904428</v>
      </c>
      <c r="V22" s="56">
        <f>V13/V20</f>
        <v>0.52737407427803862</v>
      </c>
      <c r="W22" s="56">
        <f>W13/W20</f>
        <v>0.54610018779225422</v>
      </c>
      <c r="X22" s="56">
        <f>X13/X20</f>
        <v>0.54981853970597283</v>
      </c>
      <c r="Y22" s="56">
        <f>Y13/Y20</f>
        <v>0.55558474599706864</v>
      </c>
      <c r="Z22" s="56">
        <f>Z13/Z20</f>
        <v>0.53713325720669158</v>
      </c>
      <c r="AA22" s="655"/>
      <c r="AB22" s="655"/>
      <c r="AC22" s="655"/>
      <c r="AD22" s="655"/>
    </row>
    <row r="23" spans="1:35" ht="15.6">
      <c r="A23" s="1" t="s">
        <v>30</v>
      </c>
    </row>
    <row r="24" spans="1:35">
      <c r="A24" s="908" t="s">
        <v>16</v>
      </c>
      <c r="B24" s="9">
        <v>1997</v>
      </c>
      <c r="C24" s="9">
        <v>1998</v>
      </c>
      <c r="D24" s="9">
        <v>1999</v>
      </c>
      <c r="E24" s="9">
        <v>2000</v>
      </c>
      <c r="F24" s="9">
        <v>2001</v>
      </c>
      <c r="G24" s="9">
        <v>2002</v>
      </c>
      <c r="H24" s="9">
        <v>2003</v>
      </c>
      <c r="I24" s="9">
        <v>2004</v>
      </c>
      <c r="J24" s="9">
        <v>2005</v>
      </c>
      <c r="K24" s="9">
        <v>2006</v>
      </c>
      <c r="L24" s="9">
        <v>2007</v>
      </c>
      <c r="M24" s="9">
        <v>2008</v>
      </c>
      <c r="N24" s="9">
        <v>2009</v>
      </c>
      <c r="O24" s="9">
        <v>2010</v>
      </c>
      <c r="P24" s="9">
        <v>2011</v>
      </c>
      <c r="Q24" s="9">
        <v>2012</v>
      </c>
      <c r="R24" s="9">
        <v>2013</v>
      </c>
      <c r="S24" s="9">
        <v>2014</v>
      </c>
      <c r="T24" s="9">
        <v>2015</v>
      </c>
      <c r="U24" s="9">
        <v>2016</v>
      </c>
      <c r="V24" s="9">
        <v>2017</v>
      </c>
      <c r="W24" s="9">
        <v>2018</v>
      </c>
      <c r="X24" s="9">
        <v>2019</v>
      </c>
      <c r="Y24" s="9">
        <v>2020</v>
      </c>
      <c r="Z24" s="9">
        <v>2021</v>
      </c>
      <c r="AA24" s="9">
        <v>2022</v>
      </c>
      <c r="AB24" s="9">
        <v>2023</v>
      </c>
      <c r="AC24" s="9">
        <v>2024</v>
      </c>
      <c r="AD24" s="853"/>
    </row>
    <row r="25" spans="1:35">
      <c r="A25" s="908"/>
      <c r="B25" s="11" t="s">
        <v>129</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223"/>
    </row>
    <row r="26" spans="1:35">
      <c r="A26" s="11" t="s">
        <v>17</v>
      </c>
      <c r="B26" s="683">
        <f t="shared" ref="B26:U26" si="11">SUM(B27:B31)</f>
        <v>148.58499999999998</v>
      </c>
      <c r="C26" s="683">
        <f t="shared" si="11"/>
        <v>150.36500000000001</v>
      </c>
      <c r="D26" s="683">
        <f t="shared" si="11"/>
        <v>145.82799999999997</v>
      </c>
      <c r="E26" s="187">
        <f t="shared" si="11"/>
        <v>149.45999999999998</v>
      </c>
      <c r="F26" s="187">
        <f t="shared" si="11"/>
        <v>143.43</v>
      </c>
      <c r="G26" s="187">
        <f t="shared" si="11"/>
        <v>149.875</v>
      </c>
      <c r="H26" s="187">
        <f t="shared" si="11"/>
        <v>159.72900000000001</v>
      </c>
      <c r="I26" s="187">
        <f t="shared" si="11"/>
        <v>152.35499999999999</v>
      </c>
      <c r="J26" s="187">
        <f t="shared" si="11"/>
        <v>148.37099999999998</v>
      </c>
      <c r="K26" s="187">
        <f t="shared" si="11"/>
        <v>150.54</v>
      </c>
      <c r="L26" s="187">
        <f t="shared" si="11"/>
        <v>148.5333</v>
      </c>
      <c r="M26" s="187">
        <f t="shared" si="11"/>
        <v>149.28769999999997</v>
      </c>
      <c r="N26" s="187">
        <f t="shared" si="11"/>
        <v>117.93599999999999</v>
      </c>
      <c r="O26" s="187">
        <f t="shared" si="11"/>
        <v>111.98010000000001</v>
      </c>
      <c r="P26" s="187">
        <f t="shared" si="11"/>
        <v>119.16330000000001</v>
      </c>
      <c r="Q26" s="187">
        <f t="shared" si="11"/>
        <v>108.7353</v>
      </c>
      <c r="R26" s="187">
        <f t="shared" si="11"/>
        <v>94.327699999999993</v>
      </c>
      <c r="S26" s="187">
        <f t="shared" si="11"/>
        <v>84.156900000000007</v>
      </c>
      <c r="T26" s="187">
        <f t="shared" si="11"/>
        <v>92.723199999999991</v>
      </c>
      <c r="U26" s="187">
        <f t="shared" si="11"/>
        <v>88.383200000000002</v>
      </c>
      <c r="V26" s="187">
        <f>SUM(V27:V31)</f>
        <v>93.096100000000007</v>
      </c>
      <c r="W26" s="187">
        <f t="shared" ref="W26:AB26" si="12">SUM(W27:W32)</f>
        <v>82.353399999999993</v>
      </c>
      <c r="X26" s="187">
        <f t="shared" si="12"/>
        <v>83.144800000000004</v>
      </c>
      <c r="Y26" s="187">
        <f t="shared" si="12"/>
        <v>76.305700000000002</v>
      </c>
      <c r="Z26" s="187">
        <f t="shared" si="12"/>
        <v>83.523400000000009</v>
      </c>
      <c r="AA26" s="187">
        <f t="shared" si="12"/>
        <v>88.610700000000008</v>
      </c>
      <c r="AB26" s="187">
        <f t="shared" si="12"/>
        <v>62.603500000000004</v>
      </c>
      <c r="AC26" s="187">
        <f>AB26/AB40*AC40</f>
        <v>58.732576595469332</v>
      </c>
      <c r="AD26" s="854"/>
    </row>
    <row r="27" spans="1:35">
      <c r="A27" s="10" t="s">
        <v>18</v>
      </c>
      <c r="B27" s="188">
        <v>0.52100000000000002</v>
      </c>
      <c r="C27" s="188">
        <v>0.74</v>
      </c>
      <c r="D27" s="188">
        <v>1.008</v>
      </c>
      <c r="E27" s="188">
        <v>1.1419999999999999</v>
      </c>
      <c r="F27" s="188">
        <v>1.1839999999999999</v>
      </c>
      <c r="G27" s="188">
        <v>1.321</v>
      </c>
      <c r="H27" s="188">
        <v>1.385</v>
      </c>
      <c r="I27" s="188">
        <v>1.506</v>
      </c>
      <c r="J27" s="188">
        <v>1.5389999999999999</v>
      </c>
      <c r="K27" s="188">
        <v>1.6505999999999998</v>
      </c>
      <c r="L27" s="188">
        <v>1.6496999999999999</v>
      </c>
      <c r="M27" s="188">
        <v>1.8147</v>
      </c>
      <c r="N27" s="188">
        <v>2.3660000000000001</v>
      </c>
      <c r="O27" s="188">
        <v>2.9349000000000003</v>
      </c>
      <c r="P27" s="188">
        <v>3.4984999999999999</v>
      </c>
      <c r="Q27" s="188">
        <v>3.7921</v>
      </c>
      <c r="R27" s="188">
        <v>5.2234999999999996</v>
      </c>
      <c r="S27" s="188">
        <v>5.1813000000000002</v>
      </c>
      <c r="T27" s="188">
        <v>4.6532</v>
      </c>
      <c r="U27" s="188">
        <v>4.5933999999999999</v>
      </c>
      <c r="V27" s="188">
        <v>4.4512</v>
      </c>
      <c r="W27" s="188">
        <v>4.4326999999999996</v>
      </c>
      <c r="X27" s="188">
        <v>4.4572000000000003</v>
      </c>
      <c r="Y27" s="188">
        <v>4.3392999999999997</v>
      </c>
      <c r="Z27" s="188">
        <v>3.8635999999999999</v>
      </c>
      <c r="AA27" s="188">
        <v>3.4716</v>
      </c>
      <c r="AB27" s="188">
        <v>3.0693000000000001</v>
      </c>
      <c r="AC27" s="188"/>
      <c r="AD27" s="311"/>
    </row>
    <row r="28" spans="1:35">
      <c r="A28" s="10" t="s">
        <v>19</v>
      </c>
      <c r="B28" s="188">
        <v>5.1020000000000003</v>
      </c>
      <c r="C28" s="188">
        <v>8.0449999999999999</v>
      </c>
      <c r="D28" s="188">
        <v>10.84</v>
      </c>
      <c r="E28" s="188">
        <v>11.909000000000001</v>
      </c>
      <c r="F28" s="188">
        <v>6.2220000000000004</v>
      </c>
      <c r="G28" s="188">
        <v>8.2349999999999994</v>
      </c>
      <c r="H28" s="188">
        <v>8.57</v>
      </c>
      <c r="I28" s="188">
        <v>2.2280000000000002</v>
      </c>
      <c r="J28" s="188">
        <v>0.79900000000000004</v>
      </c>
      <c r="K28" s="188">
        <v>0.65349999999999997</v>
      </c>
      <c r="L28" s="188">
        <v>0.53349999999999997</v>
      </c>
      <c r="M28" s="188">
        <v>0.59060000000000001</v>
      </c>
      <c r="N28" s="188">
        <v>0.47320000000000001</v>
      </c>
      <c r="O28" s="188">
        <v>0.3276</v>
      </c>
      <c r="P28" s="188">
        <v>0.23080000000000001</v>
      </c>
      <c r="Q28" s="188">
        <v>0.17180000000000001</v>
      </c>
      <c r="R28" s="188">
        <v>2.3226</v>
      </c>
      <c r="S28" s="188">
        <v>2.4569999999999999</v>
      </c>
      <c r="T28" s="188">
        <v>3.4622999999999999</v>
      </c>
      <c r="U28" s="188">
        <v>0.4073</v>
      </c>
      <c r="V28" s="188">
        <v>0.57050000000000001</v>
      </c>
      <c r="W28" s="188">
        <v>0.28670000000000001</v>
      </c>
      <c r="X28" s="188">
        <v>1.2231000000000001</v>
      </c>
      <c r="Y28" s="188">
        <v>1.2324999999999999</v>
      </c>
      <c r="Z28" s="188">
        <v>0.64449999999999996</v>
      </c>
      <c r="AA28" s="188">
        <v>0.2258</v>
      </c>
      <c r="AB28" s="188">
        <v>0.24299999999999999</v>
      </c>
      <c r="AC28" s="189"/>
      <c r="AD28" s="311"/>
    </row>
    <row r="29" spans="1:35">
      <c r="A29" s="10" t="s">
        <v>20</v>
      </c>
      <c r="B29" s="188">
        <v>142.96199999999999</v>
      </c>
      <c r="C29" s="188">
        <v>141.58000000000001</v>
      </c>
      <c r="D29" s="188">
        <v>133.97999999999999</v>
      </c>
      <c r="E29" s="188">
        <v>129.715</v>
      </c>
      <c r="F29" s="188">
        <v>125.63</v>
      </c>
      <c r="G29" s="188">
        <v>125.76</v>
      </c>
      <c r="H29" s="188">
        <v>122.749</v>
      </c>
      <c r="I29" s="188">
        <v>90.061000000000007</v>
      </c>
      <c r="J29" s="188">
        <v>71.786000000000001</v>
      </c>
      <c r="K29" s="188">
        <v>67.475399999999993</v>
      </c>
      <c r="L29" s="188">
        <v>59.048499999999997</v>
      </c>
      <c r="M29" s="188">
        <v>57.335300000000004</v>
      </c>
      <c r="N29" s="188">
        <v>50.573300000000003</v>
      </c>
      <c r="O29" s="188">
        <v>47.188600000000001</v>
      </c>
      <c r="P29" s="188">
        <v>50.984400000000001</v>
      </c>
      <c r="Q29" s="188">
        <v>53.808500000000002</v>
      </c>
      <c r="R29" s="188">
        <v>48.968199999999996</v>
      </c>
      <c r="S29" s="188">
        <v>47.5717</v>
      </c>
      <c r="T29" s="188">
        <v>46.207799999999999</v>
      </c>
      <c r="U29" s="188">
        <v>38.0227</v>
      </c>
      <c r="V29" s="188">
        <v>34.887500000000003</v>
      </c>
      <c r="W29" s="188">
        <v>30.308499999999999</v>
      </c>
      <c r="X29" s="188">
        <v>21.0458</v>
      </c>
      <c r="Y29" s="188">
        <v>16.280899999999999</v>
      </c>
      <c r="Z29" s="188">
        <v>18.4481</v>
      </c>
      <c r="AA29" s="188">
        <v>29.538599999999999</v>
      </c>
      <c r="AB29" s="188">
        <v>17.104099999999999</v>
      </c>
      <c r="AC29" s="188"/>
      <c r="AD29" s="311"/>
    </row>
    <row r="30" spans="1:35">
      <c r="A30" s="10" t="s">
        <v>21</v>
      </c>
      <c r="B30" s="188">
        <v>0</v>
      </c>
      <c r="C30" s="188">
        <v>0</v>
      </c>
      <c r="D30" s="188">
        <v>0</v>
      </c>
      <c r="E30" s="188">
        <v>6.694</v>
      </c>
      <c r="F30" s="188">
        <v>10.394</v>
      </c>
      <c r="G30" s="188">
        <v>14.558999999999999</v>
      </c>
      <c r="H30" s="188">
        <v>27.024999999999999</v>
      </c>
      <c r="I30" s="188">
        <v>40.465000000000003</v>
      </c>
      <c r="J30" s="188">
        <v>57.136000000000003</v>
      </c>
      <c r="K30" s="188">
        <v>63.578300000000006</v>
      </c>
      <c r="L30" s="188">
        <v>76.161500000000004</v>
      </c>
      <c r="M30" s="188">
        <v>84.566999999999993</v>
      </c>
      <c r="N30" s="188">
        <v>62.716699999999996</v>
      </c>
      <c r="O30" s="188">
        <v>60.838500000000003</v>
      </c>
      <c r="P30" s="188">
        <v>64.238900000000001</v>
      </c>
      <c r="Q30" s="188">
        <v>50.652200000000001</v>
      </c>
      <c r="R30" s="188">
        <v>37.764099999999999</v>
      </c>
      <c r="S30" s="188">
        <v>28.943300000000001</v>
      </c>
      <c r="T30" s="188">
        <v>35.299900000000001</v>
      </c>
      <c r="U30" s="188">
        <v>45.3598</v>
      </c>
      <c r="V30" s="188">
        <v>53.186900000000001</v>
      </c>
      <c r="W30" s="188">
        <v>47.325499999999998</v>
      </c>
      <c r="X30" s="188">
        <v>56.418599999999998</v>
      </c>
      <c r="Y30" s="188">
        <v>54.4529</v>
      </c>
      <c r="Z30" s="188">
        <v>60.567100000000003</v>
      </c>
      <c r="AA30" s="188">
        <v>55.374600000000001</v>
      </c>
      <c r="AB30" s="188">
        <v>42.183399999999999</v>
      </c>
      <c r="AC30" s="188"/>
      <c r="AD30" s="311"/>
    </row>
    <row r="31" spans="1:35">
      <c r="A31" s="10" t="s">
        <v>23</v>
      </c>
      <c r="B31" s="188">
        <v>0</v>
      </c>
      <c r="C31" s="188">
        <v>0</v>
      </c>
      <c r="D31" s="188">
        <v>0</v>
      </c>
      <c r="E31" s="188">
        <v>0</v>
      </c>
      <c r="F31" s="188">
        <v>0</v>
      </c>
      <c r="G31" s="188">
        <v>0</v>
      </c>
      <c r="H31" s="188">
        <v>0</v>
      </c>
      <c r="I31" s="188">
        <v>18.094999999999999</v>
      </c>
      <c r="J31" s="188">
        <v>17.111000000000001</v>
      </c>
      <c r="K31" s="188">
        <v>17.182200000000002</v>
      </c>
      <c r="L31" s="188">
        <v>11.1401</v>
      </c>
      <c r="M31" s="188">
        <v>4.9801000000000002</v>
      </c>
      <c r="N31" s="188">
        <v>1.8068</v>
      </c>
      <c r="O31" s="188">
        <v>0.6905</v>
      </c>
      <c r="P31" s="188">
        <v>0.2107</v>
      </c>
      <c r="Q31" s="188">
        <v>0.31069999999999998</v>
      </c>
      <c r="R31" s="188">
        <v>4.9299999999999997E-2</v>
      </c>
      <c r="S31" s="188">
        <v>3.5999999999999999E-3</v>
      </c>
      <c r="T31" s="188">
        <v>3.1</v>
      </c>
      <c r="U31" s="188">
        <v>0</v>
      </c>
      <c r="V31" s="188"/>
      <c r="W31" s="188"/>
      <c r="X31" s="188">
        <v>0</v>
      </c>
      <c r="Y31" s="188">
        <v>0</v>
      </c>
      <c r="Z31" s="188">
        <v>0</v>
      </c>
      <c r="AA31" s="188"/>
      <c r="AB31" s="188"/>
      <c r="AC31" s="188"/>
      <c r="AD31" s="311"/>
    </row>
    <row r="32" spans="1:35">
      <c r="A32" s="10" t="s">
        <v>387</v>
      </c>
      <c r="B32" s="189"/>
      <c r="C32" s="189"/>
      <c r="D32" s="189"/>
      <c r="E32" s="189"/>
      <c r="F32" s="189"/>
      <c r="G32" s="189"/>
      <c r="H32" s="189"/>
      <c r="I32" s="189"/>
      <c r="J32" s="189"/>
      <c r="K32" s="189"/>
      <c r="L32" s="188"/>
      <c r="M32" s="188"/>
      <c r="N32" s="188"/>
      <c r="O32" s="188"/>
      <c r="P32" s="188"/>
      <c r="Q32" s="188"/>
      <c r="R32" s="188"/>
      <c r="S32" s="188"/>
      <c r="T32" s="188"/>
      <c r="U32" s="188"/>
      <c r="V32" s="188"/>
      <c r="W32" s="188"/>
      <c r="X32" s="188">
        <v>1E-4</v>
      </c>
      <c r="Y32" s="188">
        <v>1E-4</v>
      </c>
      <c r="Z32" s="188">
        <v>1E-4</v>
      </c>
      <c r="AA32" s="188">
        <v>1E-4</v>
      </c>
      <c r="AB32" s="188">
        <v>3.7000000000000002E-3</v>
      </c>
      <c r="AC32" s="188"/>
      <c r="AD32" s="311"/>
    </row>
    <row r="33" spans="1:35">
      <c r="A33" s="11" t="s">
        <v>24</v>
      </c>
      <c r="B33" s="187">
        <f t="shared" ref="B33:U33" si="13">SUM(B34:B38)</f>
        <v>40.317</v>
      </c>
      <c r="C33" s="187">
        <f t="shared" si="13"/>
        <v>44.966999999999999</v>
      </c>
      <c r="D33" s="187">
        <f t="shared" si="13"/>
        <v>50.597000000000001</v>
      </c>
      <c r="E33" s="187">
        <f t="shared" si="13"/>
        <v>57.875</v>
      </c>
      <c r="F33" s="187">
        <f t="shared" si="13"/>
        <v>63.066000000000003</v>
      </c>
      <c r="G33" s="187">
        <f t="shared" si="13"/>
        <v>58.339000000000006</v>
      </c>
      <c r="H33" s="187">
        <f t="shared" si="13"/>
        <v>69.471999999999994</v>
      </c>
      <c r="I33" s="187">
        <f t="shared" si="13"/>
        <v>80.503</v>
      </c>
      <c r="J33" s="187">
        <f t="shared" si="13"/>
        <v>91.438000000000002</v>
      </c>
      <c r="K33" s="187">
        <f t="shared" si="13"/>
        <v>98.636500000000012</v>
      </c>
      <c r="L33" s="138">
        <f t="shared" si="13"/>
        <v>104.50119999999998</v>
      </c>
      <c r="M33" s="138">
        <f t="shared" si="13"/>
        <v>99.976500000000001</v>
      </c>
      <c r="N33" s="138">
        <f t="shared" si="13"/>
        <v>97.568900000000014</v>
      </c>
      <c r="O33" s="138">
        <f t="shared" si="13"/>
        <v>108.2557</v>
      </c>
      <c r="P33" s="138">
        <f t="shared" si="13"/>
        <v>98.54740000000001</v>
      </c>
      <c r="Q33" s="138">
        <f t="shared" si="13"/>
        <v>97.870699999999999</v>
      </c>
      <c r="R33" s="138">
        <f t="shared" si="13"/>
        <v>88.355199999999996</v>
      </c>
      <c r="S33" s="138">
        <f t="shared" si="13"/>
        <v>82.287700000000001</v>
      </c>
      <c r="T33" s="138">
        <f t="shared" si="13"/>
        <v>92.696299999999994</v>
      </c>
      <c r="U33" s="138">
        <f t="shared" si="13"/>
        <v>101.73779999999999</v>
      </c>
      <c r="V33" s="138">
        <f>SUM(V34:V38)</f>
        <v>106.6262</v>
      </c>
      <c r="W33" s="138">
        <f t="shared" ref="W33:AB33" si="14">SUM(W34:W39)</f>
        <v>101.44970000000001</v>
      </c>
      <c r="X33" s="138">
        <f t="shared" si="14"/>
        <v>103.6028</v>
      </c>
      <c r="Y33" s="138">
        <f t="shared" si="14"/>
        <v>97.158599999999993</v>
      </c>
      <c r="Z33" s="138">
        <f t="shared" si="14"/>
        <v>98.194699999999997</v>
      </c>
      <c r="AA33" s="138">
        <f t="shared" si="14"/>
        <v>102.0476</v>
      </c>
      <c r="AB33" s="138">
        <f t="shared" si="14"/>
        <v>93.019299999999987</v>
      </c>
      <c r="AC33" s="187">
        <f>AB33/AB40*AC40</f>
        <v>87.267695290310272</v>
      </c>
      <c r="AD33" s="854"/>
    </row>
    <row r="34" spans="1:35">
      <c r="A34" s="10" t="s">
        <v>25</v>
      </c>
      <c r="B34" s="188">
        <v>0.96</v>
      </c>
      <c r="C34" s="188">
        <v>1.018</v>
      </c>
      <c r="D34" s="188">
        <v>1.1870000000000001</v>
      </c>
      <c r="E34" s="188">
        <v>1.3120000000000001</v>
      </c>
      <c r="F34" s="188">
        <v>1.343</v>
      </c>
      <c r="G34" s="188">
        <v>1.512</v>
      </c>
      <c r="H34" s="188">
        <v>1.6479999999999999</v>
      </c>
      <c r="I34" s="188">
        <v>1.855</v>
      </c>
      <c r="J34" s="188">
        <v>2.1850000000000001</v>
      </c>
      <c r="K34" s="188">
        <v>2.4780000000000002</v>
      </c>
      <c r="L34" s="188">
        <v>2.6443000000000003</v>
      </c>
      <c r="M34" s="188">
        <v>2.9215999999999998</v>
      </c>
      <c r="N34" s="188">
        <v>3.7179000000000002</v>
      </c>
      <c r="O34" s="188">
        <v>5.4180000000000001</v>
      </c>
      <c r="P34" s="188">
        <v>6.7409999999999997</v>
      </c>
      <c r="Q34" s="188">
        <v>7.8523999999999994</v>
      </c>
      <c r="R34" s="188">
        <v>10.108000000000001</v>
      </c>
      <c r="S34" s="188">
        <v>11.8232</v>
      </c>
      <c r="T34" s="188">
        <v>13.642799999999999</v>
      </c>
      <c r="U34" s="188">
        <v>14.459</v>
      </c>
      <c r="V34" s="188">
        <v>15.4819</v>
      </c>
      <c r="W34" s="188">
        <v>16.3108</v>
      </c>
      <c r="X34" s="188">
        <v>17.2606</v>
      </c>
      <c r="Y34" s="188">
        <v>17.601199999999999</v>
      </c>
      <c r="Z34" s="188">
        <v>18.6465</v>
      </c>
      <c r="AA34" s="188">
        <v>17.767700000000001</v>
      </c>
      <c r="AB34" s="188">
        <v>18.047699999999999</v>
      </c>
      <c r="AC34" s="188"/>
      <c r="AD34" s="311"/>
    </row>
    <row r="35" spans="1:35">
      <c r="A35" s="10" t="s">
        <v>26</v>
      </c>
      <c r="B35" s="188">
        <v>3.1869999999999998</v>
      </c>
      <c r="C35" s="188">
        <v>3.4510000000000001</v>
      </c>
      <c r="D35" s="188">
        <v>4.2859999999999996</v>
      </c>
      <c r="E35" s="188">
        <v>4.8129999999999997</v>
      </c>
      <c r="F35" s="188">
        <v>4.7380000000000004</v>
      </c>
      <c r="G35" s="188">
        <v>4.7060000000000004</v>
      </c>
      <c r="H35" s="188">
        <v>4.742</v>
      </c>
      <c r="I35" s="188">
        <v>5.2539999999999996</v>
      </c>
      <c r="J35" s="188">
        <v>5.9329999999999998</v>
      </c>
      <c r="K35" s="188">
        <v>5.1986000000000008</v>
      </c>
      <c r="L35" s="188">
        <v>5.8673000000000002</v>
      </c>
      <c r="M35" s="188">
        <v>5.1859999999999999</v>
      </c>
      <c r="N35" s="188">
        <v>3.7565</v>
      </c>
      <c r="O35" s="188">
        <v>3.758</v>
      </c>
      <c r="P35" s="188">
        <v>4.1156999999999995</v>
      </c>
      <c r="Q35" s="188">
        <v>3.8106999999999998</v>
      </c>
      <c r="R35" s="188">
        <v>3.7079</v>
      </c>
      <c r="S35" s="188">
        <v>4.0541</v>
      </c>
      <c r="T35" s="188">
        <v>4.5576999999999996</v>
      </c>
      <c r="U35" s="188">
        <v>4.7728999999999999</v>
      </c>
      <c r="V35" s="188">
        <v>4.8642000000000003</v>
      </c>
      <c r="W35" s="188">
        <v>4.8455000000000004</v>
      </c>
      <c r="X35" s="188">
        <v>5.1441999999999997</v>
      </c>
      <c r="Y35" s="188">
        <v>4.8122999999999996</v>
      </c>
      <c r="Z35" s="188">
        <v>7.8513000000000002</v>
      </c>
      <c r="AA35" s="188">
        <v>6.4314999999999998</v>
      </c>
      <c r="AB35" s="188">
        <v>5.3620999999999999</v>
      </c>
      <c r="AC35" s="188"/>
      <c r="AD35" s="311"/>
    </row>
    <row r="36" spans="1:35">
      <c r="A36" s="10" t="s">
        <v>27</v>
      </c>
      <c r="B36" s="188">
        <v>20.631</v>
      </c>
      <c r="C36" s="188">
        <v>25.353999999999999</v>
      </c>
      <c r="D36" s="188">
        <v>30.157</v>
      </c>
      <c r="E36" s="188">
        <v>36.055</v>
      </c>
      <c r="F36" s="188">
        <v>42.247999999999998</v>
      </c>
      <c r="G36" s="188">
        <v>46.89</v>
      </c>
      <c r="H36" s="188">
        <v>48.533000000000001</v>
      </c>
      <c r="I36" s="188">
        <v>59.95</v>
      </c>
      <c r="J36" s="188">
        <v>71.048000000000002</v>
      </c>
      <c r="K36" s="188">
        <v>80.239100000000008</v>
      </c>
      <c r="L36" s="188">
        <v>86.173199999999994</v>
      </c>
      <c r="M36" s="188">
        <v>83.25869999999999</v>
      </c>
      <c r="N36" s="188">
        <v>83.140500000000003</v>
      </c>
      <c r="O36" s="188">
        <v>92.015500000000003</v>
      </c>
      <c r="P36" s="188">
        <v>81.020300000000006</v>
      </c>
      <c r="Q36" s="188">
        <v>80.490800000000007</v>
      </c>
      <c r="R36" s="188">
        <v>69.139399999999995</v>
      </c>
      <c r="S36" s="188">
        <v>60.932000000000002</v>
      </c>
      <c r="T36" s="188">
        <v>67.744</v>
      </c>
      <c r="U36" s="188">
        <v>75.988</v>
      </c>
      <c r="V36" s="188">
        <v>79.702799999999996</v>
      </c>
      <c r="W36" s="188">
        <v>73.918199999999999</v>
      </c>
      <c r="X36" s="188">
        <v>74.721199999999996</v>
      </c>
      <c r="Y36" s="188">
        <v>68.208799999999997</v>
      </c>
      <c r="Z36" s="188">
        <v>65.323599999999999</v>
      </c>
      <c r="AA36" s="188">
        <v>71.3095</v>
      </c>
      <c r="AB36" s="188">
        <v>63.757599999999996</v>
      </c>
      <c r="AC36" s="188"/>
      <c r="AD36" s="311"/>
    </row>
    <row r="37" spans="1:35">
      <c r="A37" s="10" t="s">
        <v>28</v>
      </c>
      <c r="B37" s="188">
        <v>5.819</v>
      </c>
      <c r="C37" s="188">
        <v>5.798</v>
      </c>
      <c r="D37" s="188">
        <v>5.7869999999999999</v>
      </c>
      <c r="E37" s="188">
        <v>5.6710000000000003</v>
      </c>
      <c r="F37" s="188">
        <v>5.2030000000000003</v>
      </c>
      <c r="G37" s="188">
        <v>5.2309999999999999</v>
      </c>
      <c r="H37" s="188">
        <v>5.0129999999999999</v>
      </c>
      <c r="I37" s="188">
        <v>4.97</v>
      </c>
      <c r="J37" s="188">
        <v>4.9080000000000004</v>
      </c>
      <c r="K37" s="188">
        <v>4.0189000000000004</v>
      </c>
      <c r="L37" s="188">
        <v>3.7481</v>
      </c>
      <c r="M37" s="188">
        <v>3.3263000000000003</v>
      </c>
      <c r="N37" s="188">
        <v>2.4043000000000001</v>
      </c>
      <c r="O37" s="188">
        <v>2.1978</v>
      </c>
      <c r="P37" s="188">
        <v>1.992</v>
      </c>
      <c r="Q37" s="188">
        <v>1.8371999999999999</v>
      </c>
      <c r="R37" s="188">
        <v>1.6137999999999999</v>
      </c>
      <c r="S37" s="188">
        <v>1.4601</v>
      </c>
      <c r="T37" s="188">
        <v>1.4472</v>
      </c>
      <c r="U37" s="188">
        <v>1.3933</v>
      </c>
      <c r="V37" s="188">
        <v>1.3432999999999999</v>
      </c>
      <c r="W37" s="188">
        <v>1.3382000000000001</v>
      </c>
      <c r="X37" s="188">
        <v>1.3519000000000001</v>
      </c>
      <c r="Y37" s="188">
        <v>1.25</v>
      </c>
      <c r="Z37" s="188">
        <v>1.2574000000000001</v>
      </c>
      <c r="AA37" s="188">
        <v>1.1821999999999999</v>
      </c>
      <c r="AB37" s="188">
        <v>1.0463</v>
      </c>
      <c r="AC37" s="188"/>
      <c r="AD37" s="311"/>
    </row>
    <row r="38" spans="1:35">
      <c r="A38" s="10" t="s">
        <v>29</v>
      </c>
      <c r="B38" s="188">
        <v>9.7200000000000006</v>
      </c>
      <c r="C38" s="188">
        <v>9.3460000000000001</v>
      </c>
      <c r="D38" s="188">
        <v>9.18</v>
      </c>
      <c r="E38" s="188">
        <v>10.023999999999999</v>
      </c>
      <c r="F38" s="188">
        <v>9.5340000000000007</v>
      </c>
      <c r="H38" s="188">
        <v>9.5359999999999996</v>
      </c>
      <c r="I38" s="188">
        <v>8.4740000000000002</v>
      </c>
      <c r="J38" s="188">
        <v>7.3639999999999999</v>
      </c>
      <c r="K38" s="188">
        <v>6.7018999999999993</v>
      </c>
      <c r="L38" s="188">
        <v>6.0682999999999998</v>
      </c>
      <c r="M38" s="188">
        <v>5.2839</v>
      </c>
      <c r="N38" s="188">
        <v>4.5496999999999996</v>
      </c>
      <c r="O38" s="188">
        <v>4.8663999999999996</v>
      </c>
      <c r="P38" s="188">
        <v>4.6783999999999999</v>
      </c>
      <c r="Q38" s="188">
        <v>3.8795999999999999</v>
      </c>
      <c r="R38" s="188">
        <v>3.7860999999999998</v>
      </c>
      <c r="S38" s="188">
        <v>4.0183</v>
      </c>
      <c r="T38" s="188">
        <v>5.3045999999999998</v>
      </c>
      <c r="U38" s="188">
        <v>5.1246</v>
      </c>
      <c r="V38" s="188">
        <v>5.234</v>
      </c>
      <c r="W38" s="188">
        <v>5.0369999999999999</v>
      </c>
      <c r="X38" s="188">
        <v>5.1245000000000003</v>
      </c>
      <c r="Y38" s="188">
        <v>5.2858999999999998</v>
      </c>
      <c r="Z38" s="188">
        <v>5.1155999999999997</v>
      </c>
      <c r="AA38" s="188">
        <v>5.3564999999999996</v>
      </c>
      <c r="AB38" s="188">
        <v>4.8055000000000003</v>
      </c>
      <c r="AC38" s="188"/>
      <c r="AD38" s="311"/>
    </row>
    <row r="39" spans="1:35">
      <c r="A39" s="10" t="s">
        <v>389</v>
      </c>
      <c r="B39" s="188"/>
      <c r="C39" s="188"/>
      <c r="D39" s="188"/>
      <c r="E39" s="188"/>
      <c r="F39" s="188"/>
      <c r="H39" s="188"/>
      <c r="I39" s="188"/>
      <c r="J39" s="188"/>
      <c r="K39" s="188"/>
      <c r="L39" s="188"/>
      <c r="M39" s="188"/>
      <c r="N39" s="188"/>
      <c r="O39" s="188"/>
      <c r="P39" s="188"/>
      <c r="Q39" s="188"/>
      <c r="R39" s="188"/>
      <c r="S39" s="188"/>
      <c r="T39" s="188"/>
      <c r="U39" s="188"/>
      <c r="V39" s="188"/>
      <c r="W39" s="188"/>
      <c r="X39" s="188">
        <v>4.0000000000000002E-4</v>
      </c>
      <c r="Y39" s="188">
        <v>4.0000000000000002E-4</v>
      </c>
      <c r="Z39" s="188">
        <v>2.9999999999999997E-4</v>
      </c>
      <c r="AA39" s="188">
        <v>2.0000000000000001E-4</v>
      </c>
      <c r="AB39" s="188">
        <f>0.1/1000</f>
        <v>1E-4</v>
      </c>
      <c r="AC39" s="188"/>
      <c r="AD39" s="311"/>
    </row>
    <row r="40" spans="1:35">
      <c r="A40" s="11" t="s">
        <v>10</v>
      </c>
      <c r="B40" s="643">
        <f t="shared" ref="B40:U40" si="15">B26+B33</f>
        <v>188.90199999999999</v>
      </c>
      <c r="C40" s="643">
        <f t="shared" si="15"/>
        <v>195.33199999999999</v>
      </c>
      <c r="D40" s="643">
        <f t="shared" si="15"/>
        <v>196.42499999999998</v>
      </c>
      <c r="E40" s="138">
        <f t="shared" si="15"/>
        <v>207.33499999999998</v>
      </c>
      <c r="F40" s="138">
        <f t="shared" si="15"/>
        <v>206.49600000000001</v>
      </c>
      <c r="G40" s="138">
        <f t="shared" si="15"/>
        <v>208.214</v>
      </c>
      <c r="H40" s="138">
        <f t="shared" si="15"/>
        <v>229.20100000000002</v>
      </c>
      <c r="I40" s="138">
        <f t="shared" si="15"/>
        <v>232.858</v>
      </c>
      <c r="J40" s="138">
        <f t="shared" si="15"/>
        <v>239.80899999999997</v>
      </c>
      <c r="K40" s="138">
        <f t="shared" si="15"/>
        <v>249.1765</v>
      </c>
      <c r="L40" s="138">
        <f t="shared" si="15"/>
        <v>253.03449999999998</v>
      </c>
      <c r="M40" s="138">
        <f t="shared" si="15"/>
        <v>249.26419999999996</v>
      </c>
      <c r="N40" s="138">
        <f t="shared" si="15"/>
        <v>215.50490000000002</v>
      </c>
      <c r="O40" s="138">
        <f t="shared" si="15"/>
        <v>220.23580000000001</v>
      </c>
      <c r="P40" s="138">
        <f t="shared" si="15"/>
        <v>217.71070000000003</v>
      </c>
      <c r="Q40" s="138">
        <f t="shared" si="15"/>
        <v>206.60599999999999</v>
      </c>
      <c r="R40" s="138">
        <f t="shared" si="15"/>
        <v>182.68289999999999</v>
      </c>
      <c r="S40" s="138">
        <f t="shared" si="15"/>
        <v>166.44460000000001</v>
      </c>
      <c r="T40" s="138">
        <f t="shared" si="15"/>
        <v>185.41949999999997</v>
      </c>
      <c r="U40" s="138">
        <f t="shared" si="15"/>
        <v>190.12099999999998</v>
      </c>
      <c r="V40" s="138">
        <f t="shared" ref="V40:AB40" si="16">V26+V33</f>
        <v>199.72230000000002</v>
      </c>
      <c r="W40" s="138">
        <f t="shared" si="16"/>
        <v>183.8031</v>
      </c>
      <c r="X40" s="138">
        <f t="shared" si="16"/>
        <v>186.74760000000001</v>
      </c>
      <c r="Y40" s="138">
        <f t="shared" si="16"/>
        <v>173.46429999999998</v>
      </c>
      <c r="Z40" s="138">
        <f t="shared" si="16"/>
        <v>181.71809999999999</v>
      </c>
      <c r="AA40" s="138">
        <f t="shared" si="16"/>
        <v>190.6583</v>
      </c>
      <c r="AB40" s="138">
        <f t="shared" si="16"/>
        <v>155.62279999999998</v>
      </c>
      <c r="AC40" s="187">
        <f>AB40/AB20*AC20</f>
        <v>146.0002718857796</v>
      </c>
      <c r="AD40" s="854"/>
    </row>
    <row r="42" spans="1:35">
      <c r="B42" s="139"/>
    </row>
    <row r="43" spans="1:35" ht="15.6">
      <c r="A43" s="1" t="s">
        <v>169</v>
      </c>
    </row>
    <row r="44" spans="1:35">
      <c r="A44" s="907" t="s">
        <v>166</v>
      </c>
      <c r="B44" s="168">
        <v>1997</v>
      </c>
      <c r="C44" s="168">
        <v>1998</v>
      </c>
      <c r="D44" s="168">
        <v>1999</v>
      </c>
      <c r="E44" s="168">
        <v>2000</v>
      </c>
      <c r="F44" s="168">
        <v>2001</v>
      </c>
      <c r="G44" s="168">
        <v>2002</v>
      </c>
      <c r="H44" s="168">
        <v>2003</v>
      </c>
      <c r="I44" s="168">
        <v>2004</v>
      </c>
      <c r="J44" s="168">
        <v>2005</v>
      </c>
      <c r="K44" s="168">
        <v>2006</v>
      </c>
      <c r="L44" s="168">
        <v>2007</v>
      </c>
      <c r="M44" s="168">
        <v>2008</v>
      </c>
      <c r="N44" s="168">
        <v>2009</v>
      </c>
      <c r="O44" s="168">
        <v>2010</v>
      </c>
      <c r="P44" s="168">
        <v>2011</v>
      </c>
      <c r="Q44" s="168">
        <v>2012</v>
      </c>
      <c r="R44" s="168">
        <v>2013</v>
      </c>
      <c r="S44" s="168">
        <v>2014</v>
      </c>
      <c r="T44" s="168">
        <v>2015</v>
      </c>
      <c r="U44" s="9">
        <v>2016</v>
      </c>
      <c r="V44" s="9">
        <v>2017</v>
      </c>
      <c r="W44" s="9">
        <v>2018</v>
      </c>
      <c r="X44" s="9">
        <v>2019</v>
      </c>
      <c r="Y44" s="9">
        <v>2020</v>
      </c>
      <c r="Z44" s="9">
        <v>2021</v>
      </c>
      <c r="AA44" s="9">
        <v>2022</v>
      </c>
      <c r="AB44" s="9">
        <v>2023</v>
      </c>
      <c r="AC44" s="9">
        <v>2024</v>
      </c>
      <c r="AD44" s="853"/>
      <c r="AG44" s="206">
        <v>2005</v>
      </c>
      <c r="AH44" s="206">
        <v>2010</v>
      </c>
      <c r="AI44" s="206">
        <v>2015</v>
      </c>
    </row>
    <row r="45" spans="1:35">
      <c r="A45" s="907"/>
      <c r="B45" s="440" t="s">
        <v>164</v>
      </c>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849"/>
    </row>
    <row r="46" spans="1:35">
      <c r="A46" s="310" t="s">
        <v>17</v>
      </c>
      <c r="B46" s="169" t="s">
        <v>165</v>
      </c>
      <c r="C46" s="169" t="s">
        <v>165</v>
      </c>
      <c r="D46" s="169" t="s">
        <v>165</v>
      </c>
      <c r="E46" s="170">
        <v>44.118000000000002</v>
      </c>
      <c r="F46" s="169" t="s">
        <v>165</v>
      </c>
      <c r="G46" s="169" t="s">
        <v>165</v>
      </c>
      <c r="H46" s="169" t="s">
        <v>165</v>
      </c>
      <c r="I46" s="169" t="s">
        <v>165</v>
      </c>
      <c r="J46" s="170">
        <v>46.348999999999997</v>
      </c>
      <c r="K46" s="170">
        <v>48.863</v>
      </c>
      <c r="L46" s="170">
        <v>51.848999999999997</v>
      </c>
      <c r="M46" s="170">
        <v>54.497</v>
      </c>
      <c r="N46" s="170">
        <v>52.261000000000003</v>
      </c>
      <c r="O46" s="170">
        <v>53.965000000000003</v>
      </c>
      <c r="P46" s="170">
        <v>55.862000000000002</v>
      </c>
      <c r="Q46" s="170">
        <f t="shared" ref="Q46:V46" si="17">(SUM(Q47:Q53))</f>
        <v>57.064900000000002</v>
      </c>
      <c r="R46" s="170">
        <f t="shared" si="17"/>
        <v>55.301900000000003</v>
      </c>
      <c r="S46" s="170">
        <f t="shared" si="17"/>
        <v>51.501599999999996</v>
      </c>
      <c r="T46" s="170">
        <f t="shared" si="17"/>
        <v>42.029799999999987</v>
      </c>
      <c r="U46" s="170">
        <f t="shared" si="17"/>
        <v>38.687399999999997</v>
      </c>
      <c r="V46" s="170">
        <f t="shared" si="17"/>
        <v>37.882599999999996</v>
      </c>
      <c r="W46" s="170">
        <f>(SUM(W47:W54))</f>
        <v>37.868299999999991</v>
      </c>
      <c r="X46" s="170">
        <f>(SUM(X47:X54))</f>
        <v>37.812099999999994</v>
      </c>
      <c r="Y46" s="565">
        <f>(SUM(Y47:Y54))</f>
        <v>36.295100000000005</v>
      </c>
      <c r="Z46" s="565">
        <f>(SUM(Z47:Z54))</f>
        <v>35.798500000000004</v>
      </c>
      <c r="AA46" s="802">
        <f>(SUM(AA47:AA54))</f>
        <v>35.810800000000008</v>
      </c>
      <c r="AB46" s="802">
        <f t="shared" ref="AB46:AC46" si="18">(SUM(AB47:AB54))</f>
        <v>36.396799999999999</v>
      </c>
      <c r="AC46" s="565">
        <f t="shared" si="18"/>
        <v>0</v>
      </c>
      <c r="AD46" s="855"/>
      <c r="AE46" s="56">
        <f>AA46/Q46-1</f>
        <v>-0.37245487155852364</v>
      </c>
      <c r="AG46" s="144">
        <f>J6/(J46/1000)/8760</f>
        <v>0.38799091388336127</v>
      </c>
      <c r="AH46" s="144">
        <f>O6/(O46/1000)/8760</f>
        <v>0.25173427559804312</v>
      </c>
      <c r="AI46" s="144">
        <f>T6/(T46/1000)/8760</f>
        <v>0.25961113566062749</v>
      </c>
    </row>
    <row r="47" spans="1:35">
      <c r="A47" s="171" t="s">
        <v>18</v>
      </c>
      <c r="B47" s="172" t="s">
        <v>165</v>
      </c>
      <c r="C47" s="172" t="s">
        <v>165</v>
      </c>
      <c r="D47" s="172" t="s">
        <v>165</v>
      </c>
      <c r="E47" s="173">
        <v>0.41899999999999998</v>
      </c>
      <c r="F47" s="172" t="s">
        <v>165</v>
      </c>
      <c r="G47" s="172" t="s">
        <v>165</v>
      </c>
      <c r="H47" s="172" t="s">
        <v>165</v>
      </c>
      <c r="I47" s="172" t="s">
        <v>165</v>
      </c>
      <c r="J47" s="173">
        <v>0.504</v>
      </c>
      <c r="K47" s="173">
        <v>0.52800000000000002</v>
      </c>
      <c r="L47" s="173">
        <v>0.55900000000000005</v>
      </c>
      <c r="M47" s="173">
        <v>0.63</v>
      </c>
      <c r="N47" s="173">
        <v>0.72299999999999998</v>
      </c>
      <c r="O47" s="173">
        <v>0.89100000000000001</v>
      </c>
      <c r="P47" s="173">
        <v>1.0515999999999999</v>
      </c>
      <c r="Q47" s="173">
        <v>1.3879999999999999</v>
      </c>
      <c r="R47" s="173">
        <v>1.3888</v>
      </c>
      <c r="S47" s="173">
        <v>1.3180000000000001</v>
      </c>
      <c r="T47" s="173">
        <v>1.2370000000000001</v>
      </c>
      <c r="U47" s="173">
        <v>1.2364999999999999</v>
      </c>
      <c r="V47" s="173">
        <v>1.2402</v>
      </c>
      <c r="W47" s="173">
        <v>1.224</v>
      </c>
      <c r="X47" s="173">
        <v>1.2035</v>
      </c>
      <c r="Y47" s="566">
        <v>1.1915</v>
      </c>
      <c r="Z47" s="566">
        <f>lorda!T7</f>
        <v>1.1418999999999999</v>
      </c>
      <c r="AA47" s="566">
        <f>lorda!U7</f>
        <v>1.2854000000000001</v>
      </c>
      <c r="AB47" s="803">
        <f>lorda!V7</f>
        <v>1.5024</v>
      </c>
      <c r="AC47" s="656"/>
      <c r="AD47" s="856"/>
      <c r="AG47" s="144">
        <f>J7/(J47/1000)/8760</f>
        <v>0.36307711821410454</v>
      </c>
      <c r="AH47" s="144">
        <f>O7/(O47/1000)/8760</f>
        <v>0.39039558445951145</v>
      </c>
      <c r="AI47" s="144">
        <f>T7/(T47/1000)/8760</f>
        <v>0.45866970834579163</v>
      </c>
    </row>
    <row r="48" spans="1:35">
      <c r="A48" s="171" t="s">
        <v>19</v>
      </c>
      <c r="B48" s="172" t="s">
        <v>165</v>
      </c>
      <c r="C48" s="172" t="s">
        <v>165</v>
      </c>
      <c r="D48" s="172" t="s">
        <v>165</v>
      </c>
      <c r="E48" s="173">
        <v>4.4829999999999997</v>
      </c>
      <c r="F48" s="172" t="s">
        <v>165</v>
      </c>
      <c r="G48" s="172" t="s">
        <v>165</v>
      </c>
      <c r="H48" s="172" t="s">
        <v>165</v>
      </c>
      <c r="I48" s="172" t="s">
        <v>165</v>
      </c>
      <c r="J48" s="173">
        <v>2.98</v>
      </c>
      <c r="K48" s="173">
        <v>2.968</v>
      </c>
      <c r="L48" s="173">
        <v>2.9790000000000001</v>
      </c>
      <c r="M48" s="173">
        <v>3.0990000000000002</v>
      </c>
      <c r="N48" s="173">
        <v>2.5019999999999998</v>
      </c>
      <c r="O48" s="173">
        <v>2.5169999999999999</v>
      </c>
      <c r="P48" s="173">
        <v>2.5489999999999999</v>
      </c>
      <c r="Q48" s="173">
        <v>2.5464000000000002</v>
      </c>
      <c r="R48" s="173">
        <v>2.0970999999999997</v>
      </c>
      <c r="S48" s="173">
        <v>1.5161</v>
      </c>
      <c r="T48" s="173">
        <v>2.1242999999999999</v>
      </c>
      <c r="U48" s="173">
        <v>2.7189999999999999</v>
      </c>
      <c r="V48" s="173">
        <v>2.7187000000000001</v>
      </c>
      <c r="W48" s="173">
        <v>2.7185999999999999</v>
      </c>
      <c r="X48" s="173">
        <v>2.7061000000000002</v>
      </c>
      <c r="Y48" s="566">
        <v>2.3544999999999998</v>
      </c>
      <c r="Z48" s="566">
        <f>lorda!T8</f>
        <v>2.3544999999999998</v>
      </c>
      <c r="AA48" s="566">
        <f>lorda!U8</f>
        <v>2.363</v>
      </c>
      <c r="AB48" s="803">
        <f>lorda!V8</f>
        <v>2.6154999999999999</v>
      </c>
      <c r="AC48" s="656"/>
      <c r="AD48" s="856"/>
      <c r="AG48" s="144">
        <f>J8/(J48/1000)/8760</f>
        <v>3.279090435475468E-2</v>
      </c>
      <c r="AH48" s="144">
        <f>O8/(O48/1000)/8760</f>
        <v>1.6182198493168827E-2</v>
      </c>
      <c r="AI48" s="144">
        <f>T8/(T48/1000)/8760</f>
        <v>0.19094122221727836</v>
      </c>
    </row>
    <row r="49" spans="1:37">
      <c r="A49" s="171" t="s">
        <v>20</v>
      </c>
      <c r="B49" s="172" t="s">
        <v>165</v>
      </c>
      <c r="C49" s="172" t="s">
        <v>165</v>
      </c>
      <c r="D49" s="172" t="s">
        <v>165</v>
      </c>
      <c r="E49" s="173">
        <v>37.54</v>
      </c>
      <c r="F49" s="172" t="s">
        <v>165</v>
      </c>
      <c r="G49" s="172" t="s">
        <v>165</v>
      </c>
      <c r="H49" s="172" t="s">
        <v>165</v>
      </c>
      <c r="I49" s="172" t="s">
        <v>165</v>
      </c>
      <c r="J49" s="173">
        <v>24.084</v>
      </c>
      <c r="K49" s="173">
        <v>23.736000000000001</v>
      </c>
      <c r="L49" s="173">
        <v>23.288</v>
      </c>
      <c r="M49" s="173">
        <v>23.353999999999999</v>
      </c>
      <c r="N49" s="173">
        <v>21.884</v>
      </c>
      <c r="O49" s="173">
        <v>21.803000000000001</v>
      </c>
      <c r="P49" s="173">
        <v>21.556999999999999</v>
      </c>
      <c r="Q49" s="173">
        <v>21.555199999999999</v>
      </c>
      <c r="R49" s="173">
        <v>20.949200000000001</v>
      </c>
      <c r="S49" s="173">
        <v>17.873799999999999</v>
      </c>
      <c r="T49" s="173">
        <v>13.478999999999999</v>
      </c>
      <c r="U49" s="173">
        <v>12.5648</v>
      </c>
      <c r="V49" s="173">
        <v>11.7476</v>
      </c>
      <c r="W49" s="173">
        <v>11.748200000000001</v>
      </c>
      <c r="X49" s="173">
        <v>11.7067</v>
      </c>
      <c r="Y49" s="566">
        <v>10.546799999999999</v>
      </c>
      <c r="Z49" s="566">
        <f>lorda!T9</f>
        <v>9.9123999999999999</v>
      </c>
      <c r="AA49" s="566">
        <f>lorda!U9</f>
        <v>9.1585000000000001</v>
      </c>
      <c r="AB49" s="803">
        <f>lorda!V9</f>
        <v>9.1479999999999997</v>
      </c>
      <c r="AC49" s="656"/>
      <c r="AD49" s="856"/>
      <c r="AG49" s="144">
        <f>J9/(J49/1000)/8760</f>
        <v>0.37090028886719917</v>
      </c>
      <c r="AH49" s="144">
        <f>O9/(O49/1000)/8760</f>
        <v>0.27288356489000615</v>
      </c>
      <c r="AI49" s="144">
        <f>T9/(T49/1000)/8760</f>
        <v>0.43196062469574692</v>
      </c>
    </row>
    <row r="50" spans="1:37">
      <c r="A50" s="171" t="s">
        <v>21</v>
      </c>
      <c r="B50" s="172" t="s">
        <v>165</v>
      </c>
      <c r="C50" s="172" t="s">
        <v>165</v>
      </c>
      <c r="D50" s="172" t="s">
        <v>165</v>
      </c>
      <c r="E50" s="173">
        <v>1.601</v>
      </c>
      <c r="F50" s="172" t="s">
        <v>165</v>
      </c>
      <c r="G50" s="172" t="s">
        <v>165</v>
      </c>
      <c r="H50" s="172" t="s">
        <v>165</v>
      </c>
      <c r="I50" s="172" t="s">
        <v>165</v>
      </c>
      <c r="J50" s="173">
        <v>12.782999999999999</v>
      </c>
      <c r="K50" s="173">
        <v>15.555999999999999</v>
      </c>
      <c r="L50" s="173">
        <v>18.940000000000001</v>
      </c>
      <c r="M50" s="173">
        <v>21.768999999999998</v>
      </c>
      <c r="N50" s="173">
        <v>21.504000000000001</v>
      </c>
      <c r="O50" s="173">
        <v>23.106999999999999</v>
      </c>
      <c r="P50" s="173">
        <v>25.065000000000001</v>
      </c>
      <c r="Q50" s="173">
        <v>25.9343</v>
      </c>
      <c r="R50" s="173">
        <v>25.2196</v>
      </c>
      <c r="S50" s="173">
        <v>25.131399999999999</v>
      </c>
      <c r="T50" s="173">
        <v>22.611999999999998</v>
      </c>
      <c r="U50" s="173">
        <v>21.821200000000001</v>
      </c>
      <c r="V50" s="173">
        <v>21.823899999999998</v>
      </c>
      <c r="W50" s="173">
        <v>21.823899999999998</v>
      </c>
      <c r="X50" s="173">
        <v>21.823899999999998</v>
      </c>
      <c r="Y50" s="566">
        <v>21.8965</v>
      </c>
      <c r="Z50" s="566">
        <f>lorda!T10</f>
        <v>22.080100000000002</v>
      </c>
      <c r="AA50" s="566">
        <f>lorda!U10</f>
        <v>22.693200000000001</v>
      </c>
      <c r="AB50" s="803">
        <f>lorda!V10</f>
        <v>22.8215</v>
      </c>
      <c r="AC50" s="656"/>
      <c r="AD50" s="856"/>
      <c r="AG50" s="144">
        <f>J10/(J50/1000)/8760</f>
        <v>0.5242229173520625</v>
      </c>
      <c r="AH50" s="144">
        <f>O10/(O50/1000)/8760</f>
        <v>0.30910546587614146</v>
      </c>
      <c r="AI50" s="144">
        <f>T10/(T50/1000)/8760</f>
        <v>0.18200926973757017</v>
      </c>
    </row>
    <row r="51" spans="1:37">
      <c r="A51" s="171" t="s">
        <v>23</v>
      </c>
      <c r="B51" s="172" t="s">
        <v>165</v>
      </c>
      <c r="C51" s="172" t="s">
        <v>165</v>
      </c>
      <c r="D51" s="172" t="s">
        <v>165</v>
      </c>
      <c r="E51" s="174">
        <v>0</v>
      </c>
      <c r="F51" s="172" t="s">
        <v>165</v>
      </c>
      <c r="G51" s="172" t="s">
        <v>165</v>
      </c>
      <c r="H51" s="172" t="s">
        <v>165</v>
      </c>
      <c r="I51" s="172" t="s">
        <v>165</v>
      </c>
      <c r="J51" s="173">
        <v>5.758</v>
      </c>
      <c r="K51" s="173">
        <v>5.758</v>
      </c>
      <c r="L51" s="173">
        <v>5.758</v>
      </c>
      <c r="M51" s="173">
        <v>5.3179999999999996</v>
      </c>
      <c r="N51" s="173">
        <v>5.3179999999999996</v>
      </c>
      <c r="O51" s="173">
        <v>5.3179999999999996</v>
      </c>
      <c r="P51" s="173">
        <v>5.3179999999999996</v>
      </c>
      <c r="Q51" s="173">
        <v>5.3176000000000005</v>
      </c>
      <c r="R51" s="173">
        <v>5.3176000000000005</v>
      </c>
      <c r="S51" s="173">
        <v>5.3175999999999997</v>
      </c>
      <c r="T51" s="173">
        <v>2.2444000000000002</v>
      </c>
      <c r="U51" s="173"/>
      <c r="V51" s="173">
        <v>0</v>
      </c>
      <c r="W51" s="173"/>
      <c r="X51" s="173"/>
      <c r="Y51" s="566"/>
      <c r="Z51" s="566">
        <f>lorda!T11</f>
        <v>0</v>
      </c>
      <c r="AA51" s="566">
        <f>lorda!U11</f>
        <v>0</v>
      </c>
      <c r="AB51" s="803">
        <f>lorda!V11</f>
        <v>0</v>
      </c>
      <c r="AC51" s="656"/>
      <c r="AD51" s="856"/>
      <c r="AG51" s="144">
        <f>J11/(SUM(J51:J53)/1000)/8760</f>
        <v>0.34484478083257586</v>
      </c>
      <c r="AH51" s="144">
        <f>O11/(SUM(O51:O53)/1000)/8760</f>
        <v>1.8428958567788169E-2</v>
      </c>
      <c r="AI51" s="144">
        <f>T11/(SUM(T51:T53)/1000)/8760</f>
        <v>1.6386980765227714E-4</v>
      </c>
    </row>
    <row r="52" spans="1:37">
      <c r="A52" s="171" t="s">
        <v>167</v>
      </c>
      <c r="B52" s="172" t="s">
        <v>165</v>
      </c>
      <c r="C52" s="172" t="s">
        <v>165</v>
      </c>
      <c r="D52" s="172" t="s">
        <v>165</v>
      </c>
      <c r="E52" s="173">
        <v>7.5999999999999998E-2</v>
      </c>
      <c r="F52" s="172" t="s">
        <v>165</v>
      </c>
      <c r="G52" s="172" t="s">
        <v>165</v>
      </c>
      <c r="H52" s="172" t="s">
        <v>165</v>
      </c>
      <c r="I52" s="172" t="s">
        <v>165</v>
      </c>
      <c r="J52" s="173">
        <v>0.14399999999999999</v>
      </c>
      <c r="K52" s="173">
        <v>0.14199999999999999</v>
      </c>
      <c r="L52" s="173">
        <v>0.151</v>
      </c>
      <c r="M52" s="173">
        <v>0.152</v>
      </c>
      <c r="N52" s="173">
        <v>0.151</v>
      </c>
      <c r="O52" s="173">
        <v>0.151</v>
      </c>
      <c r="P52" s="173">
        <v>0.14199999999999999</v>
      </c>
      <c r="Q52" s="173">
        <v>0.14299999999999999</v>
      </c>
      <c r="R52" s="173">
        <v>0.15230000000000002</v>
      </c>
      <c r="S52" s="173">
        <v>0.1663</v>
      </c>
      <c r="T52" s="173">
        <v>0.1641</v>
      </c>
      <c r="U52" s="173">
        <v>0.16470000000000001</v>
      </c>
      <c r="V52" s="173">
        <v>0.17100000000000001</v>
      </c>
      <c r="W52" s="173">
        <v>0.17219999999999999</v>
      </c>
      <c r="X52" s="173">
        <v>0.1832</v>
      </c>
      <c r="Y52" s="566">
        <v>0.18329999999999999</v>
      </c>
      <c r="Z52" s="566">
        <f>lorda!T12</f>
        <v>0.18709999999999999</v>
      </c>
      <c r="AA52" s="566">
        <f>lorda!U12</f>
        <v>0.1883</v>
      </c>
      <c r="AB52" s="803">
        <f>lorda!V12</f>
        <v>0.18720000000000001</v>
      </c>
      <c r="AC52" s="656"/>
      <c r="AD52" s="856"/>
      <c r="AG52" s="200"/>
    </row>
    <row r="53" spans="1:37">
      <c r="A53" s="171" t="s">
        <v>168</v>
      </c>
      <c r="B53" s="172" t="s">
        <v>165</v>
      </c>
      <c r="C53" s="172" t="s">
        <v>165</v>
      </c>
      <c r="D53" s="172" t="s">
        <v>165</v>
      </c>
      <c r="E53" s="174">
        <v>0</v>
      </c>
      <c r="F53" s="172" t="s">
        <v>165</v>
      </c>
      <c r="G53" s="172" t="s">
        <v>165</v>
      </c>
      <c r="H53" s="172" t="s">
        <v>165</v>
      </c>
      <c r="I53" s="172" t="s">
        <v>165</v>
      </c>
      <c r="J53" s="173">
        <v>9.6000000000000002E-2</v>
      </c>
      <c r="K53" s="173">
        <v>0.17399999999999999</v>
      </c>
      <c r="L53" s="173">
        <v>0.17399999999999999</v>
      </c>
      <c r="M53" s="173">
        <v>0.17399999999999999</v>
      </c>
      <c r="N53" s="173">
        <v>0.18099999999999999</v>
      </c>
      <c r="O53" s="173">
        <v>0.17899999999999999</v>
      </c>
      <c r="P53" s="173">
        <v>0.18</v>
      </c>
      <c r="Q53" s="173">
        <v>0.1804</v>
      </c>
      <c r="R53" s="173">
        <v>0.17730000000000001</v>
      </c>
      <c r="S53" s="173">
        <v>0.1784</v>
      </c>
      <c r="T53" s="173">
        <v>0.16900000000000001</v>
      </c>
      <c r="U53" s="173">
        <v>0.1812</v>
      </c>
      <c r="V53" s="173">
        <v>0.1812</v>
      </c>
      <c r="W53" s="173">
        <v>0.1812</v>
      </c>
      <c r="X53" s="173">
        <v>0.1885</v>
      </c>
      <c r="Y53" s="566">
        <v>0.12230000000000001</v>
      </c>
      <c r="Z53" s="566">
        <f>lorda!T13</f>
        <v>0.12230000000000001</v>
      </c>
      <c r="AA53" s="566">
        <f>lorda!U13</f>
        <v>0.12230000000000001</v>
      </c>
      <c r="AB53" s="803">
        <f>lorda!V13</f>
        <v>0.1211</v>
      </c>
      <c r="AC53" s="656"/>
      <c r="AD53" s="856"/>
      <c r="AG53" s="200"/>
    </row>
    <row r="54" spans="1:37">
      <c r="A54" s="171" t="s">
        <v>390</v>
      </c>
      <c r="B54" s="172"/>
      <c r="C54" s="172"/>
      <c r="D54" s="172"/>
      <c r="E54" s="174"/>
      <c r="F54" s="172"/>
      <c r="G54" s="172"/>
      <c r="H54" s="172"/>
      <c r="I54" s="172"/>
      <c r="J54" s="173"/>
      <c r="K54" s="173"/>
      <c r="L54" s="173"/>
      <c r="M54" s="173"/>
      <c r="N54" s="173"/>
      <c r="O54" s="173"/>
      <c r="P54" s="173"/>
      <c r="Q54" s="173"/>
      <c r="R54" s="173"/>
      <c r="S54" s="173"/>
      <c r="T54" s="173"/>
      <c r="U54" s="173"/>
      <c r="V54" s="173"/>
      <c r="W54" s="173">
        <v>2.0000000000000001E-4</v>
      </c>
      <c r="X54" s="173">
        <v>2.0000000000000001E-4</v>
      </c>
      <c r="Y54" s="566">
        <v>2.0000000000000001E-4</v>
      </c>
      <c r="Z54" s="566">
        <f>lorda!T14</f>
        <v>2.0000000000000001E-4</v>
      </c>
      <c r="AA54" s="566">
        <f>lorda!U14</f>
        <v>1E-4</v>
      </c>
      <c r="AB54" s="803">
        <f>lorda!V14</f>
        <v>1.1000000000000001E-3</v>
      </c>
      <c r="AC54" s="656"/>
      <c r="AD54" s="856"/>
      <c r="AG54" s="200"/>
    </row>
    <row r="55" spans="1:37">
      <c r="A55" s="310" t="s">
        <v>24</v>
      </c>
      <c r="B55" s="169" t="s">
        <v>165</v>
      </c>
      <c r="C55" s="169" t="s">
        <v>165</v>
      </c>
      <c r="D55" s="169" t="s">
        <v>165</v>
      </c>
      <c r="E55" s="170">
        <v>12.218</v>
      </c>
      <c r="F55" s="169" t="s">
        <v>165</v>
      </c>
      <c r="G55" s="169" t="s">
        <v>165</v>
      </c>
      <c r="H55" s="169" t="s">
        <v>165</v>
      </c>
      <c r="I55" s="169" t="s">
        <v>165</v>
      </c>
      <c r="J55" s="170">
        <v>18.297000000000001</v>
      </c>
      <c r="K55" s="170">
        <v>19.486999999999998</v>
      </c>
      <c r="L55" s="170">
        <v>20.390999999999998</v>
      </c>
      <c r="M55" s="170">
        <v>21.521999999999998</v>
      </c>
      <c r="N55" s="170">
        <v>24.408999999999999</v>
      </c>
      <c r="O55" s="170">
        <v>24.376000000000001</v>
      </c>
      <c r="P55" s="170">
        <v>23.849</v>
      </c>
      <c r="Q55" s="170">
        <f t="shared" ref="Q55:V55" si="19">SUM(Q56:Q60)</f>
        <v>23.5092</v>
      </c>
      <c r="R55" s="170">
        <f t="shared" si="19"/>
        <v>23.198900000000002</v>
      </c>
      <c r="S55" s="170">
        <f t="shared" si="19"/>
        <v>23.464000000000002</v>
      </c>
      <c r="T55" s="170">
        <f t="shared" si="19"/>
        <v>26.5688</v>
      </c>
      <c r="U55" s="170">
        <f t="shared" si="19"/>
        <v>26.227800000000002</v>
      </c>
      <c r="V55" s="170">
        <f t="shared" si="19"/>
        <v>26.162499999999994</v>
      </c>
      <c r="W55" s="170">
        <f>SUM(W56:W61)</f>
        <v>26.151900000000001</v>
      </c>
      <c r="X55" s="170">
        <f>SUM(X56:X61)</f>
        <v>26.136899999999997</v>
      </c>
      <c r="Y55" s="565">
        <f>SUM(Y56:Y61)</f>
        <v>26.358800000000002</v>
      </c>
      <c r="Z55" s="565">
        <f>SUM(Z56:Z61)</f>
        <v>26.134</v>
      </c>
      <c r="AA55" s="802">
        <f>SUM(AA56:AA61)</f>
        <v>26.582000000000001</v>
      </c>
      <c r="AB55" s="802">
        <f t="shared" ref="AB55:AC55" si="20">SUM(AB56:AB61)</f>
        <v>26.814700000000002</v>
      </c>
      <c r="AC55" s="565">
        <f t="shared" si="20"/>
        <v>0</v>
      </c>
      <c r="AD55" s="855"/>
      <c r="AE55" s="56">
        <f>AA55/Q55-1</f>
        <v>0.13070627669167822</v>
      </c>
      <c r="AG55" s="144">
        <f t="shared" ref="AG55:AG60" si="21">J13/(J55/1000)/8760</f>
        <v>0.58913143682261448</v>
      </c>
      <c r="AH55" s="144">
        <f t="shared" ref="AH55:AH60" si="22">O13/(O55/1000)/8760</f>
        <v>0.52201581614073567</v>
      </c>
      <c r="AI55" s="144">
        <f t="shared" ref="AI55:AI60" si="23">T13/(T55/1000)/8760</f>
        <v>0.41193345674515885</v>
      </c>
    </row>
    <row r="56" spans="1:37">
      <c r="A56" s="171" t="s">
        <v>25</v>
      </c>
      <c r="B56" s="172" t="s">
        <v>165</v>
      </c>
      <c r="C56" s="172" t="s">
        <v>165</v>
      </c>
      <c r="D56" s="172" t="s">
        <v>165</v>
      </c>
      <c r="E56" s="173">
        <v>0.42499999999999999</v>
      </c>
      <c r="F56" s="172" t="s">
        <v>165</v>
      </c>
      <c r="G56" s="172" t="s">
        <v>165</v>
      </c>
      <c r="H56" s="172" t="s">
        <v>165</v>
      </c>
      <c r="I56" s="172" t="s">
        <v>165</v>
      </c>
      <c r="J56" s="173">
        <v>0.63300000000000001</v>
      </c>
      <c r="K56" s="173">
        <v>0.70399999999999996</v>
      </c>
      <c r="L56" s="173">
        <v>0.76300000000000001</v>
      </c>
      <c r="M56" s="173">
        <v>0.82499999999999996</v>
      </c>
      <c r="N56" s="173">
        <v>1.115</v>
      </c>
      <c r="O56" s="173">
        <v>1.42</v>
      </c>
      <c r="P56" s="173">
        <v>1.8169999999999999</v>
      </c>
      <c r="Q56" s="173">
        <v>2.3540999999999999</v>
      </c>
      <c r="R56" s="173">
        <v>2.5390000000000001</v>
      </c>
      <c r="S56" s="173">
        <v>2.8271000000000002</v>
      </c>
      <c r="T56" s="173">
        <v>3.0895000000000001</v>
      </c>
      <c r="U56" s="173">
        <v>3.2547999999999999</v>
      </c>
      <c r="V56" s="173">
        <v>3.3668999999999998</v>
      </c>
      <c r="W56" s="173">
        <v>3.5444</v>
      </c>
      <c r="X56" s="173">
        <v>3.6852999999999998</v>
      </c>
      <c r="Y56" s="566">
        <v>3.7970000000000002</v>
      </c>
      <c r="Z56" s="566">
        <f>lorda!T16</f>
        <v>3.9034</v>
      </c>
      <c r="AA56" s="566">
        <f>lorda!U16</f>
        <v>4.0803000000000003</v>
      </c>
      <c r="AB56" s="566">
        <f>lorda!V16</f>
        <v>4.2134999999999998</v>
      </c>
      <c r="AC56" s="656"/>
      <c r="AD56" s="856"/>
      <c r="AG56" s="144">
        <f t="shared" si="21"/>
        <v>0.40738817113549308</v>
      </c>
      <c r="AH56" s="144">
        <f t="shared" si="22"/>
        <v>0.44997266705254368</v>
      </c>
      <c r="AI56" s="144">
        <f t="shared" si="23"/>
        <v>0.53026860015622213</v>
      </c>
    </row>
    <row r="57" spans="1:37">
      <c r="A57" s="171" t="s">
        <v>26</v>
      </c>
      <c r="B57" s="172" t="s">
        <v>165</v>
      </c>
      <c r="C57" s="172" t="s">
        <v>165</v>
      </c>
      <c r="D57" s="172" t="s">
        <v>165</v>
      </c>
      <c r="E57" s="173">
        <v>0.88300000000000001</v>
      </c>
      <c r="F57" s="172" t="s">
        <v>165</v>
      </c>
      <c r="G57" s="172" t="s">
        <v>165</v>
      </c>
      <c r="H57" s="172" t="s">
        <v>165</v>
      </c>
      <c r="I57" s="172" t="s">
        <v>165</v>
      </c>
      <c r="J57" s="173">
        <v>1.0249999999999999</v>
      </c>
      <c r="K57" s="173">
        <v>1.052</v>
      </c>
      <c r="L57" s="173">
        <v>1.0760000000000001</v>
      </c>
      <c r="M57" s="173">
        <v>1.0049999999999999</v>
      </c>
      <c r="N57" s="173">
        <v>0.89</v>
      </c>
      <c r="O57" s="173">
        <v>0.89190000000000003</v>
      </c>
      <c r="P57" s="173">
        <v>0.94799999999999995</v>
      </c>
      <c r="Q57" s="173">
        <v>0.94510000000000005</v>
      </c>
      <c r="R57" s="173">
        <v>1.008</v>
      </c>
      <c r="S57" s="173">
        <v>1.0439000000000001</v>
      </c>
      <c r="T57" s="173">
        <v>1.0606</v>
      </c>
      <c r="U57" s="173">
        <v>1.0487</v>
      </c>
      <c r="V57" s="173">
        <v>1.0334000000000001</v>
      </c>
      <c r="W57" s="173">
        <v>1.0194000000000001</v>
      </c>
      <c r="X57" s="173">
        <v>1.028</v>
      </c>
      <c r="Y57" s="566">
        <v>1.0484</v>
      </c>
      <c r="Z57" s="566">
        <f>lorda!T17</f>
        <v>1.6680999999999999</v>
      </c>
      <c r="AA57" s="566">
        <f>lorda!U17</f>
        <v>1.4371</v>
      </c>
      <c r="AB57" s="566">
        <f>lorda!V17</f>
        <v>1.4421999999999999</v>
      </c>
      <c r="AC57" s="656"/>
      <c r="AD57" s="856"/>
      <c r="AG57" s="144">
        <f t="shared" si="21"/>
        <v>0.6768014255485022</v>
      </c>
      <c r="AH57" s="144">
        <f t="shared" si="22"/>
        <v>0.4910890044904393</v>
      </c>
      <c r="AI57" s="144">
        <f t="shared" si="23"/>
        <v>0.50217116700549436</v>
      </c>
    </row>
    <row r="58" spans="1:37">
      <c r="A58" s="171" t="s">
        <v>27</v>
      </c>
      <c r="B58" s="172" t="s">
        <v>165</v>
      </c>
      <c r="C58" s="172" t="s">
        <v>165</v>
      </c>
      <c r="D58" s="172" t="s">
        <v>165</v>
      </c>
      <c r="E58" s="173">
        <v>6.3440000000000003</v>
      </c>
      <c r="F58" s="172" t="s">
        <v>165</v>
      </c>
      <c r="G58" s="172" t="s">
        <v>165</v>
      </c>
      <c r="H58" s="172" t="s">
        <v>165</v>
      </c>
      <c r="I58" s="172" t="s">
        <v>165</v>
      </c>
      <c r="J58" s="173">
        <v>12.555</v>
      </c>
      <c r="K58" s="173">
        <v>13.914999999999999</v>
      </c>
      <c r="L58" s="173">
        <v>15</v>
      </c>
      <c r="M58" s="173">
        <v>16.341999999999999</v>
      </c>
      <c r="N58" s="173">
        <v>19.125</v>
      </c>
      <c r="O58" s="173">
        <v>18.928999999999998</v>
      </c>
      <c r="P58" s="173">
        <v>18.338999999999999</v>
      </c>
      <c r="Q58" s="173">
        <v>17.5014</v>
      </c>
      <c r="R58" s="173">
        <v>16.932400000000001</v>
      </c>
      <c r="S58" s="173">
        <v>16.8583</v>
      </c>
      <c r="T58" s="173">
        <v>19.208400000000001</v>
      </c>
      <c r="U58" s="173">
        <v>19.017800000000001</v>
      </c>
      <c r="V58" s="173">
        <v>18.884699999999999</v>
      </c>
      <c r="W58" s="173">
        <v>18.886700000000001</v>
      </c>
      <c r="X58" s="173">
        <v>18.731999999999999</v>
      </c>
      <c r="Y58" s="566">
        <v>18.888999999999999</v>
      </c>
      <c r="Z58" s="566">
        <f>lorda!T18</f>
        <v>17.9984</v>
      </c>
      <c r="AA58" s="566">
        <f>lorda!U18</f>
        <v>18.760300000000001</v>
      </c>
      <c r="AB58" s="566">
        <f>lorda!V18</f>
        <v>18.929300000000001</v>
      </c>
      <c r="AC58" s="656"/>
      <c r="AD58" s="856"/>
      <c r="AG58" s="144">
        <f t="shared" si="21"/>
        <v>0.66076387184061358</v>
      </c>
      <c r="AH58" s="144">
        <f t="shared" si="22"/>
        <v>0.5684411659913482</v>
      </c>
      <c r="AI58" s="144">
        <f t="shared" si="23"/>
        <v>0.41258882743365982</v>
      </c>
    </row>
    <row r="59" spans="1:37">
      <c r="A59" s="171" t="s">
        <v>28</v>
      </c>
      <c r="B59" s="172" t="s">
        <v>165</v>
      </c>
      <c r="C59" s="172" t="s">
        <v>165</v>
      </c>
      <c r="D59" s="172" t="s">
        <v>165</v>
      </c>
      <c r="E59" s="173">
        <v>2.0209999999999999</v>
      </c>
      <c r="F59" s="172" t="s">
        <v>165</v>
      </c>
      <c r="G59" s="172" t="s">
        <v>165</v>
      </c>
      <c r="H59" s="172" t="s">
        <v>165</v>
      </c>
      <c r="I59" s="172" t="s">
        <v>165</v>
      </c>
      <c r="J59" s="173">
        <v>1.8879999999999999</v>
      </c>
      <c r="K59" s="173">
        <v>1.7649999999999999</v>
      </c>
      <c r="L59" s="173">
        <v>1.605</v>
      </c>
      <c r="M59" s="173">
        <v>1.579</v>
      </c>
      <c r="N59" s="173">
        <v>1.496</v>
      </c>
      <c r="O59" s="173">
        <v>1.3009999999999999</v>
      </c>
      <c r="P59" s="173">
        <v>1.26</v>
      </c>
      <c r="Q59" s="173">
        <v>1.1682000000000001</v>
      </c>
      <c r="R59" s="173">
        <v>1.0539000000000001</v>
      </c>
      <c r="S59" s="173">
        <v>1.0235000000000001</v>
      </c>
      <c r="T59" s="173">
        <v>1.0132000000000001</v>
      </c>
      <c r="U59" s="173">
        <v>0.72699999999999998</v>
      </c>
      <c r="V59" s="173">
        <v>0.71679999999999999</v>
      </c>
      <c r="W59" s="173">
        <v>0.64419999999999999</v>
      </c>
      <c r="X59" s="173">
        <v>0.60880000000000001</v>
      </c>
      <c r="Y59" s="566">
        <v>0.55900000000000005</v>
      </c>
      <c r="Z59" s="566">
        <f>lorda!T19</f>
        <v>0.57299999999999995</v>
      </c>
      <c r="AA59" s="566">
        <f>lorda!U19</f>
        <v>0.56930000000000003</v>
      </c>
      <c r="AB59" s="566">
        <f>lorda!V19</f>
        <v>0.57250000000000001</v>
      </c>
      <c r="AC59" s="656"/>
      <c r="AD59" s="856"/>
      <c r="AG59" s="144">
        <f t="shared" si="21"/>
        <v>0.32305694218713721</v>
      </c>
      <c r="AH59" s="144">
        <f t="shared" si="22"/>
        <v>0.21207781860809563</v>
      </c>
      <c r="AI59" s="144">
        <f t="shared" si="23"/>
        <v>0.17642687303844953</v>
      </c>
    </row>
    <row r="60" spans="1:37">
      <c r="A60" s="171" t="s">
        <v>29</v>
      </c>
      <c r="B60" s="172" t="s">
        <v>165</v>
      </c>
      <c r="C60" s="172" t="s">
        <v>165</v>
      </c>
      <c r="D60" s="172" t="s">
        <v>165</v>
      </c>
      <c r="E60" s="173">
        <v>2.5449999999999999</v>
      </c>
      <c r="F60" s="172" t="s">
        <v>165</v>
      </c>
      <c r="G60" s="172" t="s">
        <v>165</v>
      </c>
      <c r="H60" s="172" t="s">
        <v>165</v>
      </c>
      <c r="I60" s="172" t="s">
        <v>165</v>
      </c>
      <c r="J60" s="173">
        <v>2.1960000000000002</v>
      </c>
      <c r="K60" s="173">
        <v>2.0510000000000002</v>
      </c>
      <c r="L60" s="173">
        <v>1.948</v>
      </c>
      <c r="M60" s="173">
        <v>1.772</v>
      </c>
      <c r="N60" s="173">
        <v>1.782</v>
      </c>
      <c r="O60" s="173">
        <v>1.833</v>
      </c>
      <c r="P60" s="173">
        <v>1.486</v>
      </c>
      <c r="Q60" s="173">
        <v>1.5404</v>
      </c>
      <c r="R60" s="173">
        <v>1.6656</v>
      </c>
      <c r="S60" s="173">
        <v>1.7112000000000001</v>
      </c>
      <c r="T60" s="173">
        <v>2.1970999999999998</v>
      </c>
      <c r="U60" s="173">
        <v>2.1795</v>
      </c>
      <c r="V60" s="173">
        <v>2.1606999999999998</v>
      </c>
      <c r="W60" s="173">
        <v>2.0569999999999999</v>
      </c>
      <c r="X60" s="173">
        <v>2.0825</v>
      </c>
      <c r="Y60" s="566">
        <v>2.0651000000000002</v>
      </c>
      <c r="Z60" s="566">
        <f>lorda!T20</f>
        <v>1.9907999999999999</v>
      </c>
      <c r="AA60" s="566">
        <f>lorda!U20</f>
        <v>1.7349000000000001</v>
      </c>
      <c r="AB60" s="566">
        <f>lorda!V20</f>
        <v>1.6571</v>
      </c>
      <c r="AC60" s="656"/>
      <c r="AD60" s="856"/>
      <c r="AG60" s="144">
        <f t="shared" si="21"/>
        <v>0.41981685255882428</v>
      </c>
      <c r="AH60" s="144">
        <f t="shared" si="22"/>
        <v>0.33374685808378612</v>
      </c>
      <c r="AI60" s="144">
        <f t="shared" si="23"/>
        <v>0.30484871194885577</v>
      </c>
    </row>
    <row r="61" spans="1:37">
      <c r="A61" s="171" t="s">
        <v>389</v>
      </c>
      <c r="B61" s="172"/>
      <c r="C61" s="172"/>
      <c r="D61" s="172"/>
      <c r="E61" s="173"/>
      <c r="F61" s="172"/>
      <c r="G61" s="172"/>
      <c r="H61" s="172"/>
      <c r="I61" s="172"/>
      <c r="J61" s="173"/>
      <c r="K61" s="173"/>
      <c r="L61" s="173"/>
      <c r="M61" s="173"/>
      <c r="N61" s="173"/>
      <c r="O61" s="173"/>
      <c r="P61" s="173"/>
      <c r="Q61" s="173"/>
      <c r="R61" s="173"/>
      <c r="S61" s="173"/>
      <c r="T61" s="173"/>
      <c r="U61" s="173"/>
      <c r="V61" s="173"/>
      <c r="W61" s="173">
        <v>2.0000000000000001E-4</v>
      </c>
      <c r="X61" s="173">
        <v>2.9999999999999997E-4</v>
      </c>
      <c r="Y61" s="566">
        <v>2.9999999999999997E-4</v>
      </c>
      <c r="Z61" s="566">
        <f>lorda!T21</f>
        <v>2.9999999999999997E-4</v>
      </c>
      <c r="AA61" s="566">
        <f>lorda!U21</f>
        <v>1E-4</v>
      </c>
      <c r="AB61" s="566">
        <f>lorda!V21</f>
        <v>1E-4</v>
      </c>
      <c r="AC61" s="656"/>
      <c r="AD61" s="856"/>
      <c r="AG61" s="144"/>
      <c r="AH61" s="144"/>
      <c r="AI61" s="144"/>
    </row>
    <row r="62" spans="1:37">
      <c r="A62" s="310" t="s">
        <v>10</v>
      </c>
      <c r="B62" s="169" t="s">
        <v>165</v>
      </c>
      <c r="C62" s="169" t="s">
        <v>165</v>
      </c>
      <c r="D62" s="169" t="s">
        <v>165</v>
      </c>
      <c r="E62" s="170">
        <v>56.337000000000003</v>
      </c>
      <c r="F62" s="169" t="s">
        <v>165</v>
      </c>
      <c r="G62" s="169" t="s">
        <v>165</v>
      </c>
      <c r="H62" s="169" t="s">
        <v>165</v>
      </c>
      <c r="I62" s="169" t="s">
        <v>165</v>
      </c>
      <c r="J62" s="170">
        <v>64.646000000000001</v>
      </c>
      <c r="K62" s="170">
        <v>68.349999999999994</v>
      </c>
      <c r="L62" s="170">
        <v>72.239999999999995</v>
      </c>
      <c r="M62" s="170">
        <v>76.019000000000005</v>
      </c>
      <c r="N62" s="170">
        <v>76.67</v>
      </c>
      <c r="O62" s="170">
        <v>78.340999999999994</v>
      </c>
      <c r="P62" s="170">
        <v>79.710999999999999</v>
      </c>
      <c r="Q62" s="170">
        <f t="shared" ref="Q62:V62" si="24">(Q46+Q55)</f>
        <v>80.574100000000001</v>
      </c>
      <c r="R62" s="170">
        <f t="shared" si="24"/>
        <v>78.500799999999998</v>
      </c>
      <c r="S62" s="170">
        <f t="shared" si="24"/>
        <v>74.965599999999995</v>
      </c>
      <c r="T62" s="170">
        <f t="shared" si="24"/>
        <v>68.59859999999999</v>
      </c>
      <c r="U62" s="170">
        <f t="shared" si="24"/>
        <v>64.915199999999999</v>
      </c>
      <c r="V62" s="170">
        <f t="shared" si="24"/>
        <v>64.045099999999991</v>
      </c>
      <c r="W62" s="170">
        <f>(W46+W55)</f>
        <v>64.020199999999988</v>
      </c>
      <c r="X62" s="170">
        <f>(X46+X55)</f>
        <v>63.948999999999991</v>
      </c>
      <c r="Y62" s="565">
        <f>(Y46+Y55)</f>
        <v>62.653900000000007</v>
      </c>
      <c r="Z62" s="565">
        <f>(Z46+Z55)</f>
        <v>61.932500000000005</v>
      </c>
      <c r="AA62" s="565">
        <f>(AA46+AA55)</f>
        <v>62.392800000000008</v>
      </c>
      <c r="AB62" s="565">
        <f t="shared" ref="AB62:AC62" si="25">(AB46+AB55)</f>
        <v>63.211500000000001</v>
      </c>
      <c r="AC62" s="565">
        <f t="shared" si="25"/>
        <v>0</v>
      </c>
      <c r="AD62" s="855"/>
      <c r="AG62" s="144">
        <f>J20/(J62/1000)/8760</f>
        <v>0.44492047098232357</v>
      </c>
      <c r="AH62" s="144">
        <f>O20/(O62/1000)/8760</f>
        <v>0.3358330595332582</v>
      </c>
      <c r="AI62" s="144">
        <f>T20/(T62/1000)/8760</f>
        <v>0.31860681901904436</v>
      </c>
      <c r="AJ62" s="198">
        <f>165.8/(AG62/1000)/8760</f>
        <v>42.540053500980321</v>
      </c>
      <c r="AK62">
        <f>165.8/(0.4/1000)/8760</f>
        <v>47.317351598173516</v>
      </c>
    </row>
    <row r="64" spans="1:37">
      <c r="E64" s="133">
        <f>E50+E58</f>
        <v>7.9450000000000003</v>
      </c>
      <c r="J64" s="133">
        <f>J50+J58</f>
        <v>25.338000000000001</v>
      </c>
      <c r="O64" s="133">
        <f>O50+O58</f>
        <v>42.036000000000001</v>
      </c>
      <c r="Q64" s="133">
        <f>Q50+Q58</f>
        <v>43.435699999999997</v>
      </c>
      <c r="T64" s="133">
        <f t="shared" ref="T64:Z64" si="26">T50+T58</f>
        <v>41.820399999999999</v>
      </c>
      <c r="U64" s="133">
        <f t="shared" si="26"/>
        <v>40.838999999999999</v>
      </c>
      <c r="V64" s="133">
        <f t="shared" si="26"/>
        <v>40.708599999999997</v>
      </c>
      <c r="W64" s="133">
        <f t="shared" si="26"/>
        <v>40.710599999999999</v>
      </c>
      <c r="X64" s="133">
        <f t="shared" si="26"/>
        <v>40.555899999999994</v>
      </c>
      <c r="Y64" s="133">
        <f t="shared" si="26"/>
        <v>40.785499999999999</v>
      </c>
      <c r="Z64" s="133">
        <f t="shared" si="26"/>
        <v>40.078500000000005</v>
      </c>
      <c r="AA64" s="133">
        <f>AA50+AA58</f>
        <v>41.453500000000005</v>
      </c>
      <c r="AB64" s="133">
        <f>AB50+AB58</f>
        <v>41.750799999999998</v>
      </c>
      <c r="AC64" s="203"/>
      <c r="AD64" s="203"/>
      <c r="AG64" s="204">
        <f>T62/J62-1</f>
        <v>6.1142220709711204E-2</v>
      </c>
      <c r="AH64" s="205"/>
    </row>
    <row r="65" spans="1:36">
      <c r="E65" s="133">
        <f>E48+E57</f>
        <v>5.3659999999999997</v>
      </c>
      <c r="J65" s="133">
        <f>J48+J57</f>
        <v>4.0049999999999999</v>
      </c>
      <c r="O65" s="133">
        <f>O48+O57</f>
        <v>3.4089</v>
      </c>
      <c r="Q65" s="133">
        <f>Q48+Q57</f>
        <v>3.4915000000000003</v>
      </c>
      <c r="T65" s="133">
        <f t="shared" ref="T65:Z65" si="27">T48+T57</f>
        <v>3.1848999999999998</v>
      </c>
      <c r="U65" s="133">
        <f t="shared" si="27"/>
        <v>3.7676999999999996</v>
      </c>
      <c r="V65" s="133">
        <f t="shared" si="27"/>
        <v>3.7521000000000004</v>
      </c>
      <c r="W65" s="133">
        <f t="shared" si="27"/>
        <v>3.738</v>
      </c>
      <c r="X65" s="133">
        <f t="shared" si="27"/>
        <v>3.7341000000000002</v>
      </c>
      <c r="Y65" s="133">
        <f t="shared" si="27"/>
        <v>3.4028999999999998</v>
      </c>
      <c r="Z65" s="133">
        <f t="shared" si="27"/>
        <v>4.0225999999999997</v>
      </c>
      <c r="AA65" s="133">
        <f>AA48+AA57</f>
        <v>3.8001</v>
      </c>
      <c r="AB65" s="133">
        <f>AB48+AB57</f>
        <v>4.0576999999999996</v>
      </c>
    </row>
    <row r="67" spans="1:36">
      <c r="A67" s="310" t="s">
        <v>17</v>
      </c>
      <c r="E67" s="199">
        <f t="shared" ref="E67:U67" si="28">E6/(E46/1000)</f>
        <v>3616.8683983861461</v>
      </c>
      <c r="F67" s="199"/>
      <c r="G67" s="199"/>
      <c r="H67" s="199"/>
      <c r="I67" s="199"/>
      <c r="J67" s="199">
        <f t="shared" si="28"/>
        <v>3398.8004056182449</v>
      </c>
      <c r="K67" s="199">
        <f t="shared" si="28"/>
        <v>3264.0934858686537</v>
      </c>
      <c r="L67" s="199">
        <f t="shared" si="28"/>
        <v>3029.81156820768</v>
      </c>
      <c r="M67" s="199">
        <f t="shared" si="28"/>
        <v>2889.8361377690517</v>
      </c>
      <c r="N67" s="199">
        <f t="shared" si="28"/>
        <v>2403.2509902221541</v>
      </c>
      <c r="O67" s="199">
        <f t="shared" si="28"/>
        <v>2205.1922542388579</v>
      </c>
      <c r="P67" s="199">
        <f t="shared" si="28"/>
        <v>2258.9864308474457</v>
      </c>
      <c r="Q67" s="199">
        <f t="shared" si="28"/>
        <v>2032.2772842850859</v>
      </c>
      <c r="R67" s="199">
        <f t="shared" si="28"/>
        <v>1825.2841222453478</v>
      </c>
      <c r="S67" s="199">
        <f t="shared" si="28"/>
        <v>1754.4969476676454</v>
      </c>
      <c r="T67" s="199">
        <f t="shared" si="28"/>
        <v>2274.1935483870971</v>
      </c>
      <c r="U67" s="199">
        <f t="shared" si="28"/>
        <v>2418.5445390488894</v>
      </c>
      <c r="V67" s="199">
        <f t="shared" ref="V67:AA67" si="29">V6/(V46/1000)</f>
        <v>2605.2963629740307</v>
      </c>
      <c r="W67" s="199">
        <f t="shared" si="29"/>
        <v>2302.8892239683328</v>
      </c>
      <c r="X67" s="199">
        <f t="shared" si="29"/>
        <v>2322.6215946747211</v>
      </c>
      <c r="Y67" s="199">
        <f t="shared" si="29"/>
        <v>2213.8663345740883</v>
      </c>
      <c r="Z67" s="199">
        <f t="shared" si="29"/>
        <v>2445.4379373437437</v>
      </c>
      <c r="AA67" s="199">
        <f t="shared" si="29"/>
        <v>2599.0343695198089</v>
      </c>
      <c r="AB67" s="199">
        <f t="shared" ref="AB67" si="30">AB6/(AB46/1000)</f>
        <v>1804.2767496043607</v>
      </c>
      <c r="AC67" s="199"/>
      <c r="AD67" s="199"/>
    </row>
    <row r="68" spans="1:36">
      <c r="A68" s="310" t="s">
        <v>24</v>
      </c>
      <c r="E68" s="199">
        <f t="shared" ref="E68:U68" si="31">E13/(E55/1000)</f>
        <v>4919.0538549680796</v>
      </c>
      <c r="F68" s="199"/>
      <c r="G68" s="199"/>
      <c r="H68" s="199"/>
      <c r="I68" s="199"/>
      <c r="J68" s="199">
        <f t="shared" si="31"/>
        <v>5160.791386566103</v>
      </c>
      <c r="K68" s="199">
        <f t="shared" si="31"/>
        <v>5215.9850156514603</v>
      </c>
      <c r="L68" s="199">
        <f t="shared" si="31"/>
        <v>5279.3094992889028</v>
      </c>
      <c r="M68" s="199">
        <f t="shared" si="31"/>
        <v>4782.3018306848808</v>
      </c>
      <c r="N68" s="199">
        <f t="shared" si="31"/>
        <v>4114.8469826703258</v>
      </c>
      <c r="O68" s="199">
        <f t="shared" si="31"/>
        <v>4572.8585493928449</v>
      </c>
      <c r="P68" s="199">
        <f t="shared" si="31"/>
        <v>4256.3126336534024</v>
      </c>
      <c r="Q68" s="199">
        <f t="shared" si="31"/>
        <v>4289.3335375087199</v>
      </c>
      <c r="R68" s="199">
        <f t="shared" si="31"/>
        <v>3935.2227907357669</v>
      </c>
      <c r="S68" s="199">
        <f t="shared" si="31"/>
        <v>3628.9933515172174</v>
      </c>
      <c r="T68" s="199">
        <f t="shared" si="31"/>
        <v>3608.5370810875916</v>
      </c>
      <c r="U68" s="199">
        <f t="shared" si="31"/>
        <v>4008.2202853460831</v>
      </c>
      <c r="V68" s="199">
        <f t="shared" ref="V68:AA68" si="32">V13/(V55/1000)</f>
        <v>4209.3874820831343</v>
      </c>
      <c r="W68" s="199">
        <f t="shared" si="32"/>
        <v>4011.9723614727795</v>
      </c>
      <c r="X68" s="199">
        <f t="shared" si="32"/>
        <v>4103.8072609988185</v>
      </c>
      <c r="Y68" s="199">
        <f t="shared" si="32"/>
        <v>3810.9663565867945</v>
      </c>
      <c r="Z68" s="199">
        <f t="shared" si="32"/>
        <v>3887.2426723808062</v>
      </c>
      <c r="AA68" s="199">
        <f t="shared" si="32"/>
        <v>3966.6503649085848</v>
      </c>
      <c r="AB68" s="199">
        <f t="shared" ref="AB68" si="33">AB13/(AB55/1000)</f>
        <v>3591.4778088138223</v>
      </c>
      <c r="AC68" s="199"/>
      <c r="AD68" s="199"/>
    </row>
    <row r="69" spans="1:36">
      <c r="A69" s="310" t="s">
        <v>10</v>
      </c>
      <c r="E69" s="199">
        <f t="shared" ref="E69:U69" si="34">E20/(E62/1000)</f>
        <v>3899.2136606493068</v>
      </c>
      <c r="F69" s="199"/>
      <c r="G69" s="199"/>
      <c r="H69" s="199"/>
      <c r="I69" s="199"/>
      <c r="J69" s="199">
        <f t="shared" si="34"/>
        <v>3897.5033258051544</v>
      </c>
      <c r="K69" s="199">
        <f t="shared" si="34"/>
        <v>3820.5896122896856</v>
      </c>
      <c r="L69" s="199">
        <f t="shared" si="34"/>
        <v>3664.7715946843859</v>
      </c>
      <c r="M69" s="199">
        <f t="shared" si="34"/>
        <v>3425.6185953511622</v>
      </c>
      <c r="N69" s="199">
        <f t="shared" si="34"/>
        <v>2948.1622538150514</v>
      </c>
      <c r="O69" s="199">
        <f t="shared" si="34"/>
        <v>2941.8976015113417</v>
      </c>
      <c r="P69" s="199">
        <f t="shared" si="34"/>
        <v>2856.5731203974356</v>
      </c>
      <c r="Q69" s="199">
        <f t="shared" si="34"/>
        <v>2690.8212440474049</v>
      </c>
      <c r="R69" s="199">
        <f t="shared" si="34"/>
        <v>2448.8224323828545</v>
      </c>
      <c r="S69" s="199">
        <f t="shared" si="34"/>
        <v>2341.2085009657762</v>
      </c>
      <c r="T69" s="199">
        <f t="shared" si="34"/>
        <v>2790.9957346068286</v>
      </c>
      <c r="U69" s="199">
        <f t="shared" si="34"/>
        <v>3060.8239672680675</v>
      </c>
      <c r="V69" s="199">
        <f t="shared" ref="V69:AA69" si="35">V20/(V62/1000)</f>
        <v>3260.5695049269971</v>
      </c>
      <c r="W69" s="199">
        <f t="shared" si="35"/>
        <v>3001.0402966563688</v>
      </c>
      <c r="X69" s="199">
        <f t="shared" si="35"/>
        <v>3050.6184615865773</v>
      </c>
      <c r="Y69" s="199">
        <f t="shared" si="35"/>
        <v>2885.7740699302035</v>
      </c>
      <c r="Z69" s="199">
        <f t="shared" si="35"/>
        <v>3053.8442659346865</v>
      </c>
      <c r="AA69" s="199">
        <f t="shared" si="35"/>
        <v>3181.6972471182567</v>
      </c>
      <c r="AB69" s="199">
        <f t="shared" ref="AB69" si="36">AB20/(AB62/1000)</f>
        <v>2562.4182308598906</v>
      </c>
      <c r="AC69" s="199"/>
      <c r="AD69" s="199"/>
    </row>
    <row r="71" spans="1:36">
      <c r="A71" s="310" t="s">
        <v>17</v>
      </c>
      <c r="E71" s="198">
        <f t="shared" ref="E71:U73" si="37">E67/8760</f>
        <v>0.41288452036371531</v>
      </c>
      <c r="F71" s="198"/>
      <c r="G71" s="198"/>
      <c r="H71" s="198"/>
      <c r="I71" s="198"/>
      <c r="J71" s="198">
        <f t="shared" si="37"/>
        <v>0.38799091388336127</v>
      </c>
      <c r="K71" s="198">
        <f t="shared" si="37"/>
        <v>0.37261341162884176</v>
      </c>
      <c r="L71" s="198">
        <f t="shared" si="37"/>
        <v>0.34586890048032876</v>
      </c>
      <c r="M71" s="198">
        <f t="shared" si="37"/>
        <v>0.32988997006496024</v>
      </c>
      <c r="N71" s="198">
        <f t="shared" si="37"/>
        <v>0.27434372034499477</v>
      </c>
      <c r="O71" s="198">
        <f t="shared" si="37"/>
        <v>0.25173427559804312</v>
      </c>
      <c r="P71" s="198">
        <f t="shared" si="37"/>
        <v>0.25787516333874949</v>
      </c>
      <c r="Q71" s="198">
        <f t="shared" si="37"/>
        <v>0.23199512377683629</v>
      </c>
      <c r="R71" s="198">
        <f t="shared" si="37"/>
        <v>0.20836576737960591</v>
      </c>
      <c r="S71" s="198">
        <f t="shared" si="37"/>
        <v>0.20028503968808736</v>
      </c>
      <c r="T71" s="198">
        <f t="shared" si="37"/>
        <v>0.25961113566062749</v>
      </c>
      <c r="U71" s="198">
        <f t="shared" si="37"/>
        <v>0.27608955925215634</v>
      </c>
      <c r="V71" s="198">
        <f t="shared" ref="V71:W73" si="38">V67/8760</f>
        <v>0.29740826061347381</v>
      </c>
      <c r="W71" s="198">
        <f t="shared" si="38"/>
        <v>0.26288689771328</v>
      </c>
      <c r="X71" s="198">
        <f t="shared" ref="X71:Z73" si="39">X67/8760</f>
        <v>0.265139451446886</v>
      </c>
      <c r="Y71" s="198">
        <f t="shared" si="39"/>
        <v>0.25272446741713339</v>
      </c>
      <c r="Z71" s="198">
        <f t="shared" si="39"/>
        <v>0.27915958188855522</v>
      </c>
      <c r="AA71" s="198">
        <f t="shared" ref="AA71:AB73" si="40">AA67/8760</f>
        <v>0.29669342117806036</v>
      </c>
      <c r="AB71" s="198">
        <f t="shared" si="40"/>
        <v>0.20596766547994985</v>
      </c>
      <c r="AC71" s="198"/>
      <c r="AD71" s="198"/>
      <c r="AI71" s="144">
        <f>0.85*0.7</f>
        <v>0.59499999999999997</v>
      </c>
      <c r="AJ71" s="200">
        <f>AI71*8760</f>
        <v>5212.2</v>
      </c>
    </row>
    <row r="72" spans="1:36">
      <c r="A72" s="310" t="s">
        <v>24</v>
      </c>
      <c r="E72" s="198">
        <f t="shared" si="37"/>
        <v>0.5615358281927032</v>
      </c>
      <c r="F72" s="198"/>
      <c r="G72" s="198"/>
      <c r="H72" s="198"/>
      <c r="I72" s="198"/>
      <c r="J72" s="198">
        <f t="shared" si="37"/>
        <v>0.58913143682261448</v>
      </c>
      <c r="K72" s="198">
        <f t="shared" si="37"/>
        <v>0.59543207941226717</v>
      </c>
      <c r="L72" s="198">
        <f t="shared" si="37"/>
        <v>0.60266090174530851</v>
      </c>
      <c r="M72" s="198">
        <f t="shared" si="37"/>
        <v>0.54592486651653893</v>
      </c>
      <c r="N72" s="198">
        <f t="shared" si="37"/>
        <v>0.46973139071579062</v>
      </c>
      <c r="O72" s="198">
        <f t="shared" si="37"/>
        <v>0.52201581614073567</v>
      </c>
      <c r="P72" s="198">
        <f t="shared" si="37"/>
        <v>0.48588043763166694</v>
      </c>
      <c r="Q72" s="198">
        <f t="shared" si="37"/>
        <v>0.48964994720419175</v>
      </c>
      <c r="R72" s="198">
        <f t="shared" si="37"/>
        <v>0.44922634597440264</v>
      </c>
      <c r="S72" s="198">
        <f t="shared" si="37"/>
        <v>0.4142686474334723</v>
      </c>
      <c r="T72" s="198">
        <f t="shared" si="37"/>
        <v>0.41193345674515885</v>
      </c>
      <c r="U72" s="198">
        <f t="shared" si="37"/>
        <v>0.45755939330434736</v>
      </c>
      <c r="V72" s="198">
        <f t="shared" si="38"/>
        <v>0.48052368516930755</v>
      </c>
      <c r="W72" s="198">
        <f t="shared" si="38"/>
        <v>0.45798771249689263</v>
      </c>
      <c r="X72" s="198">
        <f t="shared" si="39"/>
        <v>0.46847114851584687</v>
      </c>
      <c r="Y72" s="198">
        <f t="shared" si="39"/>
        <v>0.43504182152817289</v>
      </c>
      <c r="Z72" s="198">
        <f t="shared" si="39"/>
        <v>0.44374916351379068</v>
      </c>
      <c r="AA72" s="198">
        <f t="shared" si="40"/>
        <v>0.4528139685968704</v>
      </c>
      <c r="AB72" s="198">
        <f t="shared" si="40"/>
        <v>0.40998605123445458</v>
      </c>
      <c r="AC72" s="198"/>
      <c r="AD72" s="198"/>
      <c r="AI72" s="144"/>
      <c r="AJ72" s="200"/>
    </row>
    <row r="73" spans="1:36">
      <c r="A73" s="310" t="s">
        <v>10</v>
      </c>
      <c r="E73" s="198">
        <f t="shared" si="37"/>
        <v>0.44511571468599392</v>
      </c>
      <c r="F73" s="198"/>
      <c r="G73" s="198"/>
      <c r="H73" s="198"/>
      <c r="I73" s="198"/>
      <c r="J73" s="198">
        <f t="shared" si="37"/>
        <v>0.44492047098232357</v>
      </c>
      <c r="K73" s="198">
        <f t="shared" si="37"/>
        <v>0.43614036669973583</v>
      </c>
      <c r="L73" s="198">
        <f t="shared" si="37"/>
        <v>0.41835292176762395</v>
      </c>
      <c r="M73" s="198">
        <f t="shared" si="37"/>
        <v>0.39105235106748426</v>
      </c>
      <c r="N73" s="198">
        <f t="shared" si="37"/>
        <v>0.33654820249030265</v>
      </c>
      <c r="O73" s="198">
        <f t="shared" si="37"/>
        <v>0.3358330595332582</v>
      </c>
      <c r="P73" s="198">
        <f t="shared" si="37"/>
        <v>0.32609282196317757</v>
      </c>
      <c r="Q73" s="198">
        <f t="shared" si="37"/>
        <v>0.30717137489125629</v>
      </c>
      <c r="R73" s="198">
        <f t="shared" si="37"/>
        <v>0.27954593976973224</v>
      </c>
      <c r="S73" s="198">
        <f t="shared" si="37"/>
        <v>0.26726124440248589</v>
      </c>
      <c r="T73" s="202">
        <f t="shared" si="37"/>
        <v>0.31860681901904436</v>
      </c>
      <c r="U73" s="202">
        <f t="shared" si="37"/>
        <v>0.34940912868356933</v>
      </c>
      <c r="V73" s="202">
        <f t="shared" si="38"/>
        <v>0.3722111306994289</v>
      </c>
      <c r="W73" s="202">
        <f t="shared" si="38"/>
        <v>0.34258450875072705</v>
      </c>
      <c r="X73" s="202">
        <f t="shared" si="39"/>
        <v>0.3482441166194723</v>
      </c>
      <c r="Y73" s="202">
        <f t="shared" si="39"/>
        <v>0.32942626369066252</v>
      </c>
      <c r="Z73" s="202">
        <f t="shared" si="39"/>
        <v>0.34861235912496419</v>
      </c>
      <c r="AA73" s="202">
        <f t="shared" si="40"/>
        <v>0.36320744830117085</v>
      </c>
      <c r="AB73" s="202">
        <f t="shared" si="40"/>
        <v>0.29251349667350351</v>
      </c>
      <c r="AC73" s="202"/>
      <c r="AD73" s="202"/>
    </row>
    <row r="76" spans="1:36">
      <c r="E76" s="198">
        <f t="shared" ref="E76:U76" si="41">E69/$AJ$71</f>
        <v>0.74809363812772089</v>
      </c>
      <c r="F76" s="198"/>
      <c r="G76" s="198"/>
      <c r="H76" s="198"/>
      <c r="I76" s="198"/>
      <c r="J76" s="198">
        <f t="shared" si="41"/>
        <v>0.74776549744928333</v>
      </c>
      <c r="K76" s="198">
        <f t="shared" si="41"/>
        <v>0.73300901966342158</v>
      </c>
      <c r="L76" s="198">
        <f t="shared" si="41"/>
        <v>0.70311415423130086</v>
      </c>
      <c r="M76" s="198">
        <f t="shared" si="41"/>
        <v>0.65723084213022565</v>
      </c>
      <c r="N76" s="198">
        <f t="shared" si="41"/>
        <v>0.56562723107613899</v>
      </c>
      <c r="O76" s="198">
        <f t="shared" si="41"/>
        <v>0.56442531013992969</v>
      </c>
      <c r="P76" s="198">
        <f t="shared" si="41"/>
        <v>0.54805516296332368</v>
      </c>
      <c r="Q76" s="198">
        <f t="shared" si="41"/>
        <v>0.5162544115819433</v>
      </c>
      <c r="R76" s="198">
        <f t="shared" si="41"/>
        <v>0.46982510885669287</v>
      </c>
      <c r="S76" s="198">
        <f t="shared" si="41"/>
        <v>0.44917856202098466</v>
      </c>
      <c r="T76" s="198">
        <f t="shared" si="41"/>
        <v>0.53547364541015863</v>
      </c>
      <c r="U76" s="198">
        <f t="shared" si="41"/>
        <v>0.58724223308162915</v>
      </c>
      <c r="V76" s="198">
        <f t="shared" ref="V76:AA76" si="42">V69/$AJ$71</f>
        <v>0.62556492554525867</v>
      </c>
      <c r="W76" s="198">
        <f t="shared" si="42"/>
        <v>0.57577228361466726</v>
      </c>
      <c r="X76" s="198">
        <f t="shared" si="42"/>
        <v>0.58528422961255844</v>
      </c>
      <c r="Y76" s="198">
        <f t="shared" si="42"/>
        <v>0.55365758603472692</v>
      </c>
      <c r="Z76" s="198">
        <f t="shared" si="42"/>
        <v>0.58590312457977178</v>
      </c>
      <c r="AA76" s="198">
        <f t="shared" si="42"/>
        <v>0.61043268622045521</v>
      </c>
      <c r="AB76" s="198">
        <f t="shared" ref="AB76" si="43">AB69/$AJ$71</f>
        <v>0.49161932214034204</v>
      </c>
      <c r="AC76" s="198"/>
      <c r="AD76" s="198"/>
    </row>
  </sheetData>
  <mergeCells count="4">
    <mergeCell ref="A44:A45"/>
    <mergeCell ref="A1:B1"/>
    <mergeCell ref="A4:A5"/>
    <mergeCell ref="A24:A25"/>
  </mergeCells>
  <hyperlinks>
    <hyperlink ref="A1" location="Indice!A1" display="Torna indietro"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2">
    <tabColor rgb="FFFF0000"/>
  </sheetPr>
  <dimension ref="A1:BG164"/>
  <sheetViews>
    <sheetView zoomScale="85" zoomScaleNormal="85" workbookViewId="0">
      <pane xSplit="5" ySplit="3" topLeftCell="F4" activePane="bottomRight" state="frozen"/>
      <selection activeCell="Z17" sqref="Z17:AC23"/>
      <selection pane="topRight" activeCell="Z17" sqref="Z17:AC23"/>
      <selection pane="bottomLeft" activeCell="Z17" sqref="Z17:AC23"/>
      <selection pane="bottomRight" activeCell="Z17" sqref="Z17:AC23"/>
    </sheetView>
  </sheetViews>
  <sheetFormatPr defaultRowHeight="14.4"/>
  <cols>
    <col min="1" max="1" width="37.77734375" customWidth="1"/>
    <col min="2" max="5" width="0.21875" customWidth="1"/>
    <col min="6" max="6" width="8.77734375" customWidth="1"/>
    <col min="7" max="10" width="0.21875" customWidth="1"/>
    <col min="11" max="11" width="8.77734375" customWidth="1"/>
    <col min="12" max="15" width="0.21875" customWidth="1"/>
    <col min="16" max="16" width="8.77734375" customWidth="1"/>
    <col min="17" max="17" width="10" customWidth="1"/>
    <col min="18" max="22" width="8.77734375" customWidth="1"/>
    <col min="23" max="23" width="9.5546875" customWidth="1"/>
    <col min="24" max="24" width="10.21875" customWidth="1"/>
    <col min="25" max="25" width="10" bestFit="1" customWidth="1"/>
    <col min="26" max="27" width="10.21875" customWidth="1"/>
    <col min="28" max="28" width="9.77734375" customWidth="1"/>
    <col min="29" max="31" width="10.21875" customWidth="1"/>
    <col min="32" max="32" width="12.21875" customWidth="1"/>
    <col min="37" max="37" width="11.21875" bestFit="1" customWidth="1"/>
    <col min="38" max="38" width="10.21875" customWidth="1"/>
  </cols>
  <sheetData>
    <row r="1" spans="1:38" ht="15.6">
      <c r="A1" s="906" t="s">
        <v>57</v>
      </c>
      <c r="B1" s="906"/>
      <c r="C1" s="113"/>
      <c r="D1" s="113"/>
      <c r="E1" s="113"/>
      <c r="Y1" s="301"/>
      <c r="Z1" s="301"/>
      <c r="AA1" s="301"/>
      <c r="AB1" s="301"/>
      <c r="AC1" s="301"/>
      <c r="AD1" s="301"/>
      <c r="AE1" s="301"/>
    </row>
    <row r="2" spans="1:38" ht="15" customHeight="1">
      <c r="A2" s="737" t="s">
        <v>556</v>
      </c>
      <c r="Y2" s="301"/>
      <c r="Z2" s="56">
        <f>Z8/Y8-1</f>
        <v>-0.13137627824069731</v>
      </c>
      <c r="AA2" s="56">
        <f>AA8/Z8-1</f>
        <v>7.3580959674806268E-2</v>
      </c>
      <c r="AB2" s="56">
        <f>AB8/AA8-1</f>
        <v>6.14353261813958E-2</v>
      </c>
      <c r="AC2" s="90"/>
      <c r="AD2" s="90"/>
      <c r="AE2" s="90"/>
    </row>
    <row r="3" spans="1:38" s="2" customFormat="1" ht="15.6">
      <c r="A3" s="6"/>
      <c r="B3" s="110">
        <v>1996</v>
      </c>
      <c r="C3" s="110">
        <v>1997</v>
      </c>
      <c r="D3" s="110">
        <v>1998</v>
      </c>
      <c r="E3" s="110">
        <v>1999</v>
      </c>
      <c r="F3" s="110">
        <v>2000</v>
      </c>
      <c r="G3" s="110">
        <v>2001</v>
      </c>
      <c r="H3" s="110">
        <v>2002</v>
      </c>
      <c r="I3" s="110">
        <v>2003</v>
      </c>
      <c r="J3" s="110">
        <v>2004</v>
      </c>
      <c r="K3" s="110">
        <v>2005</v>
      </c>
      <c r="L3" s="110">
        <v>2006</v>
      </c>
      <c r="M3" s="110">
        <v>2007</v>
      </c>
      <c r="N3" s="110">
        <v>2008</v>
      </c>
      <c r="O3" s="110">
        <v>2009</v>
      </c>
      <c r="P3" s="494">
        <v>2010</v>
      </c>
      <c r="Q3" s="110">
        <v>2011</v>
      </c>
      <c r="R3" s="110">
        <v>2012</v>
      </c>
      <c r="S3" s="494">
        <v>2013</v>
      </c>
      <c r="T3" s="110">
        <v>2014</v>
      </c>
      <c r="U3" s="494">
        <v>2015</v>
      </c>
      <c r="V3" s="110">
        <v>2016</v>
      </c>
      <c r="W3" s="3">
        <v>2017</v>
      </c>
      <c r="X3" s="495">
        <v>2018</v>
      </c>
      <c r="Y3" s="3">
        <v>2019</v>
      </c>
      <c r="Z3" s="3">
        <v>2020</v>
      </c>
      <c r="AA3" s="628">
        <v>2021</v>
      </c>
      <c r="AB3" s="3">
        <v>2022</v>
      </c>
      <c r="AC3" s="3">
        <f>AB3+1</f>
        <v>2023</v>
      </c>
      <c r="AD3" s="331">
        <f>AC3+1</f>
        <v>2024</v>
      </c>
      <c r="AE3" s="331">
        <f>AD3+1</f>
        <v>2025</v>
      </c>
      <c r="AI3"/>
      <c r="AJ3"/>
      <c r="AK3"/>
      <c r="AL3"/>
    </row>
    <row r="4" spans="1:38" s="2" customFormat="1" ht="15.6">
      <c r="A4" s="736"/>
      <c r="B4" s="733"/>
      <c r="C4" s="734"/>
      <c r="D4" s="734"/>
      <c r="E4" s="734"/>
      <c r="F4" s="734"/>
      <c r="G4" s="734"/>
      <c r="H4" s="734"/>
      <c r="I4" s="734"/>
      <c r="J4" s="734"/>
      <c r="K4" s="734"/>
      <c r="L4" s="734"/>
      <c r="M4" s="734"/>
      <c r="N4" s="734"/>
      <c r="O4" s="734"/>
      <c r="P4" s="734"/>
      <c r="Q4" s="734"/>
      <c r="R4" s="734"/>
      <c r="S4" s="734"/>
      <c r="T4" s="734"/>
      <c r="U4" s="734"/>
      <c r="V4" s="734"/>
      <c r="W4" s="734"/>
      <c r="X4" s="735"/>
      <c r="Y4" s="432"/>
      <c r="Z4" s="432"/>
      <c r="AA4" s="629"/>
      <c r="AB4" s="432"/>
      <c r="AC4" s="432"/>
      <c r="AD4" s="432"/>
      <c r="AE4" s="432"/>
    </row>
    <row r="5" spans="1:38" s="2" customFormat="1" ht="15.6">
      <c r="A5" s="69" t="s">
        <v>121</v>
      </c>
      <c r="B5" s="140">
        <v>4.1070000000000002</v>
      </c>
      <c r="C5" s="140">
        <v>4.3529999999999998</v>
      </c>
      <c r="D5" s="140">
        <v>4.4868000000000006</v>
      </c>
      <c r="E5" s="140">
        <v>4.6821999999999999</v>
      </c>
      <c r="F5" s="190">
        <v>4.9066000000000001</v>
      </c>
      <c r="G5" s="191">
        <v>5.1626000000000003</v>
      </c>
      <c r="H5" s="191">
        <v>4.8902000000000001</v>
      </c>
      <c r="I5" s="191">
        <v>5.1621999999999995</v>
      </c>
      <c r="J5" s="191">
        <v>5.1848000000000001</v>
      </c>
      <c r="K5" s="191">
        <v>5.3643999999999998</v>
      </c>
      <c r="L5" s="191">
        <v>5.5034999999999998</v>
      </c>
      <c r="M5" s="191">
        <v>5.6592000000000002</v>
      </c>
      <c r="N5" s="191">
        <v>5.6695000000000002</v>
      </c>
      <c r="O5" s="191">
        <v>5.6498999999999997</v>
      </c>
      <c r="P5" s="191">
        <v>5.6103000000000005</v>
      </c>
      <c r="Q5" s="191">
        <v>5.907</v>
      </c>
      <c r="R5" s="191">
        <v>5.9236000000000004</v>
      </c>
      <c r="S5" s="191">
        <v>5.6771000000000003</v>
      </c>
      <c r="T5" s="191">
        <v>5.3721000000000005</v>
      </c>
      <c r="U5" s="191">
        <v>5.6898999999999997</v>
      </c>
      <c r="V5" s="191">
        <v>5.5674999999999999</v>
      </c>
      <c r="W5" s="191">
        <v>5.9904000000000002</v>
      </c>
      <c r="X5" s="191">
        <v>5.8433000000000002</v>
      </c>
      <c r="Y5" s="191">
        <v>6.0523999999999996</v>
      </c>
      <c r="Z5" s="191">
        <v>6.3105000000000002</v>
      </c>
      <c r="AA5" s="630">
        <v>6.7138</v>
      </c>
      <c r="AB5" s="630">
        <v>6.6173000000000002</v>
      </c>
      <c r="AC5" s="630">
        <v>6.3333999999999993</v>
      </c>
      <c r="AD5" s="606">
        <f t="shared" ref="AD5:AD10" si="0">$AD$12*AD21</f>
        <v>6.462820316318294</v>
      </c>
      <c r="AE5" s="606">
        <f>$AE$12*AE21</f>
        <v>6.5997759031569325</v>
      </c>
      <c r="AF5" s="338">
        <f t="shared" ref="AF5:AK10" si="1">X5/W5-1</f>
        <v>-2.4555956196581241E-2</v>
      </c>
      <c r="AG5" s="338">
        <f t="shared" si="1"/>
        <v>3.5784573785360818E-2</v>
      </c>
      <c r="AH5" s="462">
        <f t="shared" si="1"/>
        <v>4.2644240301368264E-2</v>
      </c>
      <c r="AI5" s="462">
        <f t="shared" si="1"/>
        <v>6.3909357420172785E-2</v>
      </c>
      <c r="AJ5" s="462">
        <f t="shared" si="1"/>
        <v>-1.4373380201971986E-2</v>
      </c>
      <c r="AK5" s="462">
        <f t="shared" si="1"/>
        <v>-4.2902694452420342E-2</v>
      </c>
    </row>
    <row r="6" spans="1:38" s="2" customFormat="1" ht="15.6">
      <c r="A6" s="69" t="s">
        <v>122</v>
      </c>
      <c r="B6" s="140">
        <v>129.12799999999999</v>
      </c>
      <c r="C6" s="140">
        <v>133.88999999999999</v>
      </c>
      <c r="D6" s="140">
        <v>137.7003</v>
      </c>
      <c r="E6" s="140">
        <v>139.69810000000001</v>
      </c>
      <c r="F6" s="190">
        <v>148.19239999999999</v>
      </c>
      <c r="G6" s="191">
        <v>150.9734</v>
      </c>
      <c r="H6" s="191">
        <v>151.3141</v>
      </c>
      <c r="I6" s="191">
        <v>152.7209</v>
      </c>
      <c r="J6" s="191">
        <v>153.15529999999998</v>
      </c>
      <c r="K6" s="191">
        <v>153.7268</v>
      </c>
      <c r="L6" s="191">
        <v>156.1506</v>
      </c>
      <c r="M6" s="191">
        <v>155.80429999999998</v>
      </c>
      <c r="N6" s="191">
        <v>151.36660000000001</v>
      </c>
      <c r="O6" s="191">
        <v>130.5059</v>
      </c>
      <c r="P6" s="191">
        <v>138.43929999999997</v>
      </c>
      <c r="Q6" s="191">
        <v>140.03960000000001</v>
      </c>
      <c r="R6" s="191">
        <v>130.80089999999998</v>
      </c>
      <c r="S6" s="191">
        <v>124.8708</v>
      </c>
      <c r="T6" s="191">
        <v>122.505</v>
      </c>
      <c r="U6" s="191">
        <v>122.3623</v>
      </c>
      <c r="V6" s="191">
        <v>122.738</v>
      </c>
      <c r="W6" s="191">
        <v>125.52460000000001</v>
      </c>
      <c r="X6" s="191">
        <v>126.432</v>
      </c>
      <c r="Y6" s="191">
        <v>128.93998999999999</v>
      </c>
      <c r="Z6" s="191">
        <v>125.4175</v>
      </c>
      <c r="AA6" s="630">
        <v>135.74615</v>
      </c>
      <c r="AB6" s="630">
        <v>130.01310000000001</v>
      </c>
      <c r="AC6" s="630">
        <v>124.48570000000001</v>
      </c>
      <c r="AD6" s="606">
        <f t="shared" si="0"/>
        <v>127.02951196057478</v>
      </c>
      <c r="AE6" s="606">
        <f t="shared" ref="AE6:AE9" si="2">$AE$12*AE22</f>
        <v>129.72143290296256</v>
      </c>
      <c r="AF6" s="338">
        <f t="shared" si="1"/>
        <v>7.228861912326412E-3</v>
      </c>
      <c r="AG6" s="338">
        <f t="shared" si="1"/>
        <v>1.9836671095925018E-2</v>
      </c>
      <c r="AH6" s="462">
        <f t="shared" si="1"/>
        <v>-2.7318832582505892E-2</v>
      </c>
      <c r="AI6" s="462">
        <f t="shared" si="1"/>
        <v>8.2354137181812614E-2</v>
      </c>
      <c r="AJ6" s="462">
        <f t="shared" si="1"/>
        <v>-4.2233610308653247E-2</v>
      </c>
      <c r="AK6" s="462">
        <f t="shared" si="1"/>
        <v>-4.2514177417506405E-2</v>
      </c>
    </row>
    <row r="7" spans="1:38" s="2" customFormat="1" ht="15.6">
      <c r="A7" s="69" t="s">
        <v>372</v>
      </c>
      <c r="B7" s="140">
        <v>54.722000000000001</v>
      </c>
      <c r="C7" s="140">
        <v>56.923000000000002</v>
      </c>
      <c r="D7" s="140">
        <v>59.346599999999995</v>
      </c>
      <c r="E7" s="140">
        <v>62.186999999999998</v>
      </c>
      <c r="F7" s="190">
        <v>65.108800000000002</v>
      </c>
      <c r="G7" s="191">
        <v>67.802700000000002</v>
      </c>
      <c r="H7" s="191">
        <v>71.797699999999992</v>
      </c>
      <c r="I7" s="191">
        <v>76.889699999999991</v>
      </c>
      <c r="J7" s="191">
        <v>79.557400000000001</v>
      </c>
      <c r="K7" s="191">
        <v>83.793000000000006</v>
      </c>
      <c r="L7" s="191">
        <v>88.276499999999999</v>
      </c>
      <c r="M7" s="191">
        <v>90.268500000000003</v>
      </c>
      <c r="N7" s="191">
        <v>93.612200000000001</v>
      </c>
      <c r="O7" s="191">
        <v>94.83489999999999</v>
      </c>
      <c r="P7" s="191">
        <v>96.284499999999994</v>
      </c>
      <c r="Q7" s="191">
        <v>97.705100000000002</v>
      </c>
      <c r="R7" s="191">
        <v>101.0384</v>
      </c>
      <c r="S7" s="191">
        <v>99.756500000000003</v>
      </c>
      <c r="T7" s="191">
        <v>98.951399999999992</v>
      </c>
      <c r="U7" s="191">
        <v>102.9405</v>
      </c>
      <c r="V7" s="191">
        <v>102.8985</v>
      </c>
      <c r="W7" s="191">
        <v>104.87479999999999</v>
      </c>
      <c r="X7" s="191">
        <v>106.02979999999999</v>
      </c>
      <c r="Y7" s="191">
        <v>101.2234</v>
      </c>
      <c r="Z7" s="191">
        <v>85.874800000000008</v>
      </c>
      <c r="AA7" s="630">
        <v>91.374899999999997</v>
      </c>
      <c r="AB7" s="630">
        <v>94.697839999999999</v>
      </c>
      <c r="AC7" s="630">
        <v>93.330900000000028</v>
      </c>
      <c r="AD7" s="606">
        <f t="shared" si="0"/>
        <v>95.238076966601085</v>
      </c>
      <c r="AE7" s="606">
        <f t="shared" si="2"/>
        <v>97.25629596108719</v>
      </c>
      <c r="AF7" s="338">
        <f t="shared" si="1"/>
        <v>1.1013131848642388E-2</v>
      </c>
      <c r="AG7" s="338">
        <f t="shared" si="1"/>
        <v>-4.5330652326044163E-2</v>
      </c>
      <c r="AH7" s="462">
        <f t="shared" si="1"/>
        <v>-0.15163094699446955</v>
      </c>
      <c r="AI7" s="462">
        <f t="shared" si="1"/>
        <v>6.4047892979081089E-2</v>
      </c>
      <c r="AJ7" s="462">
        <f t="shared" si="1"/>
        <v>3.6366004230921289E-2</v>
      </c>
      <c r="AK7" s="462">
        <f t="shared" si="1"/>
        <v>-1.4434753738838957E-2</v>
      </c>
    </row>
    <row r="8" spans="1:38" s="2" customFormat="1" ht="15.6">
      <c r="A8" s="122" t="s">
        <v>422</v>
      </c>
      <c r="B8" s="141">
        <v>8.1229999999999993</v>
      </c>
      <c r="C8" s="141">
        <v>8.1097000000000001</v>
      </c>
      <c r="D8" s="141">
        <v>8.2747000000000011</v>
      </c>
      <c r="E8" s="141">
        <v>8.2886000000000006</v>
      </c>
      <c r="F8" s="192">
        <v>8.5137999999999998</v>
      </c>
      <c r="G8" s="193">
        <v>8.5672000000000015</v>
      </c>
      <c r="H8" s="193">
        <v>8.9667999999999992</v>
      </c>
      <c r="I8" s="193">
        <v>9.4632000000000005</v>
      </c>
      <c r="J8" s="193">
        <v>9.6026000000000007</v>
      </c>
      <c r="K8" s="193">
        <v>9.9179999999999993</v>
      </c>
      <c r="L8" s="193">
        <v>10.219299999999999</v>
      </c>
      <c r="M8" s="193">
        <v>10.4039</v>
      </c>
      <c r="N8" s="193">
        <v>10.8391</v>
      </c>
      <c r="O8" s="193">
        <v>10.5349</v>
      </c>
      <c r="P8" s="193">
        <v>10.665899999999999</v>
      </c>
      <c r="Q8" s="193">
        <v>10.7202</v>
      </c>
      <c r="R8" s="193">
        <v>10.759</v>
      </c>
      <c r="S8" s="193">
        <v>10.774299999999998</v>
      </c>
      <c r="T8" s="193">
        <v>10.4621</v>
      </c>
      <c r="U8" s="193">
        <v>10.855600000000001</v>
      </c>
      <c r="V8" s="193">
        <v>11.1625</v>
      </c>
      <c r="W8" s="193">
        <v>11.382899999999999</v>
      </c>
      <c r="X8" s="433">
        <v>11.54</v>
      </c>
      <c r="Y8" s="433">
        <v>11.725100000000001</v>
      </c>
      <c r="Z8" s="433">
        <v>10.184700000000001</v>
      </c>
      <c r="AA8" s="631">
        <v>10.934100000000001</v>
      </c>
      <c r="AB8" s="631">
        <v>11.605840000000001</v>
      </c>
      <c r="AC8" s="631">
        <v>11.7636</v>
      </c>
      <c r="AD8" s="606">
        <f t="shared" si="0"/>
        <v>12.003984127489481</v>
      </c>
      <c r="AE8" s="606">
        <f t="shared" si="2"/>
        <v>12.258364198436368</v>
      </c>
      <c r="AF8" s="338">
        <f t="shared" si="1"/>
        <v>1.3801403860176142E-2</v>
      </c>
      <c r="AG8" s="338">
        <f t="shared" si="1"/>
        <v>1.6039861351820006E-2</v>
      </c>
      <c r="AH8" s="462">
        <f t="shared" si="1"/>
        <v>-0.13137627824069731</v>
      </c>
      <c r="AI8" s="462">
        <f t="shared" si="1"/>
        <v>7.3580959674806268E-2</v>
      </c>
      <c r="AJ8" s="462">
        <f t="shared" si="1"/>
        <v>6.14353261813958E-2</v>
      </c>
      <c r="AK8" s="462">
        <f t="shared" si="1"/>
        <v>1.3593156548771912E-2</v>
      </c>
    </row>
    <row r="9" spans="1:38" s="2" customFormat="1" ht="15.6">
      <c r="A9" s="69" t="s">
        <v>123</v>
      </c>
      <c r="B9" s="140">
        <v>58.506999999999998</v>
      </c>
      <c r="C9" s="140">
        <v>58.506999999999998</v>
      </c>
      <c r="D9" s="140">
        <v>59.275300000000001</v>
      </c>
      <c r="E9" s="140">
        <v>60.716900000000003</v>
      </c>
      <c r="F9" s="190">
        <v>61.111699999999999</v>
      </c>
      <c r="G9" s="191">
        <v>61.553199999999997</v>
      </c>
      <c r="H9" s="191">
        <v>62.957599999999999</v>
      </c>
      <c r="I9" s="191">
        <v>65.015799999999999</v>
      </c>
      <c r="J9" s="191">
        <v>66.592199999999991</v>
      </c>
      <c r="K9" s="191">
        <v>66.932500000000005</v>
      </c>
      <c r="L9" s="191">
        <v>67.60260000000001</v>
      </c>
      <c r="M9" s="191">
        <v>67.220399999999998</v>
      </c>
      <c r="N9" s="191">
        <v>68.388899999999992</v>
      </c>
      <c r="O9" s="191">
        <v>68.924399999999991</v>
      </c>
      <c r="P9" s="191">
        <v>69.5505</v>
      </c>
      <c r="Q9" s="191">
        <v>70.1404</v>
      </c>
      <c r="R9" s="191">
        <v>69.456600000000009</v>
      </c>
      <c r="S9" s="191">
        <v>66.983199999999997</v>
      </c>
      <c r="T9" s="191">
        <v>64.254999999999995</v>
      </c>
      <c r="U9" s="191">
        <v>66.187300000000008</v>
      </c>
      <c r="V9" s="191">
        <v>64.304199999999994</v>
      </c>
      <c r="W9" s="191">
        <v>65.490700000000004</v>
      </c>
      <c r="X9" s="191">
        <v>65.137799999999999</v>
      </c>
      <c r="Y9" s="191">
        <v>65.587999999999994</v>
      </c>
      <c r="Z9" s="191">
        <v>66.211600000000004</v>
      </c>
      <c r="AA9" s="630">
        <v>67.052289999999999</v>
      </c>
      <c r="AB9" s="630">
        <v>64.525139999999993</v>
      </c>
      <c r="AC9" s="630">
        <v>63.222099999999998</v>
      </c>
      <c r="AD9" s="606">
        <f t="shared" si="0"/>
        <v>64.514016534611244</v>
      </c>
      <c r="AE9" s="606">
        <f t="shared" si="2"/>
        <v>65.881152639495056</v>
      </c>
      <c r="AF9" s="338">
        <f t="shared" si="1"/>
        <v>-5.3885513515660177E-3</v>
      </c>
      <c r="AG9" s="338">
        <f t="shared" si="1"/>
        <v>6.9115014630520832E-3</v>
      </c>
      <c r="AH9" s="462">
        <f t="shared" si="1"/>
        <v>9.5078367994145818E-3</v>
      </c>
      <c r="AI9" s="462">
        <f t="shared" si="1"/>
        <v>1.2697019857547565E-2</v>
      </c>
      <c r="AJ9" s="462">
        <f t="shared" si="1"/>
        <v>-3.7689242231697118E-2</v>
      </c>
      <c r="AK9" s="462">
        <f t="shared" si="1"/>
        <v>-2.0194299462194087E-2</v>
      </c>
    </row>
    <row r="10" spans="1:38" s="2" customFormat="1" ht="15.6">
      <c r="A10" s="6" t="s">
        <v>50</v>
      </c>
      <c r="B10" s="142">
        <f t="shared" ref="B10:S10" si="3">SUM(B5:B7,B9)</f>
        <v>246.464</v>
      </c>
      <c r="C10" s="142">
        <f t="shared" si="3"/>
        <v>253.673</v>
      </c>
      <c r="D10" s="142">
        <f t="shared" si="3"/>
        <v>260.80899999999997</v>
      </c>
      <c r="E10" s="142">
        <f t="shared" si="3"/>
        <v>267.2842</v>
      </c>
      <c r="F10" s="194">
        <f t="shared" si="3"/>
        <v>279.31950000000001</v>
      </c>
      <c r="G10" s="194">
        <f t="shared" si="3"/>
        <v>285.49189999999999</v>
      </c>
      <c r="H10" s="194">
        <f t="shared" si="3"/>
        <v>290.95959999999997</v>
      </c>
      <c r="I10" s="194">
        <f t="shared" si="3"/>
        <v>299.78860000000003</v>
      </c>
      <c r="J10" s="194">
        <f t="shared" si="3"/>
        <v>304.48969999999997</v>
      </c>
      <c r="K10" s="194">
        <f t="shared" si="3"/>
        <v>309.81669999999997</v>
      </c>
      <c r="L10" s="194">
        <f t="shared" si="3"/>
        <v>317.53320000000002</v>
      </c>
      <c r="M10" s="194">
        <f t="shared" si="3"/>
        <v>318.95239999999995</v>
      </c>
      <c r="N10" s="194">
        <f t="shared" si="3"/>
        <v>319.03719999999998</v>
      </c>
      <c r="O10" s="194">
        <f t="shared" si="3"/>
        <v>299.9151</v>
      </c>
      <c r="P10" s="496">
        <f t="shared" si="3"/>
        <v>309.88459999999998</v>
      </c>
      <c r="Q10" s="194">
        <f t="shared" si="3"/>
        <v>313.7921</v>
      </c>
      <c r="R10" s="194">
        <f t="shared" si="3"/>
        <v>307.21949999999998</v>
      </c>
      <c r="S10" s="496">
        <f t="shared" si="3"/>
        <v>297.2876</v>
      </c>
      <c r="T10" s="194">
        <f t="shared" ref="T10:AA10" si="4">SUM(T5:T7,T9)</f>
        <v>291.08349999999996</v>
      </c>
      <c r="U10" s="496">
        <f t="shared" si="4"/>
        <v>297.18</v>
      </c>
      <c r="V10" s="194">
        <f t="shared" si="4"/>
        <v>295.50819999999999</v>
      </c>
      <c r="W10" s="194">
        <f t="shared" si="4"/>
        <v>301.88049999999998</v>
      </c>
      <c r="X10" s="496">
        <f t="shared" si="4"/>
        <v>303.44290000000001</v>
      </c>
      <c r="Y10" s="562">
        <f t="shared" si="4"/>
        <v>301.80378999999999</v>
      </c>
      <c r="Z10" s="562">
        <f t="shared" si="4"/>
        <v>283.81439999999998</v>
      </c>
      <c r="AA10" s="562">
        <f t="shared" si="4"/>
        <v>300.88713999999999</v>
      </c>
      <c r="AB10" s="562">
        <f>SUM(AB5:AB7,AB9)</f>
        <v>295.85338000000002</v>
      </c>
      <c r="AC10" s="562">
        <f>SUM(AC5:AC7,AC9)</f>
        <v>287.37210000000005</v>
      </c>
      <c r="AD10" s="606">
        <f t="shared" si="0"/>
        <v>293.24442577810538</v>
      </c>
      <c r="AE10" s="606">
        <f>$AE$12*AE26</f>
        <v>299.45865740670172</v>
      </c>
      <c r="AF10" s="527">
        <f t="shared" si="1"/>
        <v>5.1755578780345868E-3</v>
      </c>
      <c r="AG10" s="527">
        <f t="shared" si="1"/>
        <v>-5.401708196171362E-3</v>
      </c>
      <c r="AH10" s="462">
        <f t="shared" si="1"/>
        <v>-5.9606242850694491E-2</v>
      </c>
      <c r="AI10" s="462">
        <f t="shared" si="1"/>
        <v>6.0154593988183791E-2</v>
      </c>
      <c r="AJ10" s="462">
        <f t="shared" si="1"/>
        <v>-1.6729727963780583E-2</v>
      </c>
      <c r="AK10" s="462">
        <f t="shared" si="1"/>
        <v>-2.8667172908418248E-2</v>
      </c>
    </row>
    <row r="11" spans="1:38" ht="15.6">
      <c r="A11" s="334"/>
      <c r="B11" s="335"/>
      <c r="C11" s="335"/>
      <c r="D11" s="335"/>
      <c r="E11" s="335"/>
      <c r="T11" s="337">
        <f t="shared" ref="T11:AC11" si="5">SUM(T5:T7,T9)-T10</f>
        <v>0</v>
      </c>
      <c r="U11" s="337">
        <f t="shared" si="5"/>
        <v>0</v>
      </c>
      <c r="V11" s="337">
        <f t="shared" si="5"/>
        <v>0</v>
      </c>
      <c r="W11" s="337">
        <f t="shared" si="5"/>
        <v>0</v>
      </c>
      <c r="X11" s="337">
        <f t="shared" si="5"/>
        <v>0</v>
      </c>
      <c r="Y11" s="337">
        <f t="shared" si="5"/>
        <v>0</v>
      </c>
      <c r="Z11" s="337">
        <f t="shared" si="5"/>
        <v>0</v>
      </c>
      <c r="AA11" s="337">
        <f t="shared" si="5"/>
        <v>0</v>
      </c>
      <c r="AB11" s="337">
        <f t="shared" si="5"/>
        <v>0</v>
      </c>
      <c r="AC11" s="337">
        <f t="shared" si="5"/>
        <v>0</v>
      </c>
      <c r="AD11" s="640">
        <f>SUM(AD5:AD7,AD9)-AD12</f>
        <v>-2.5129669666057453E-5</v>
      </c>
      <c r="AE11" s="640">
        <f>SUM(AE5:AE7,AE9)-AE12</f>
        <v>-2.5662200187070994E-5</v>
      </c>
      <c r="AF11" s="338"/>
      <c r="AG11" s="338"/>
      <c r="AH11" s="338"/>
      <c r="AI11" s="338"/>
      <c r="AJ11" s="339"/>
      <c r="AK11" s="2"/>
    </row>
    <row r="12" spans="1:38" ht="15.6">
      <c r="F12" s="333">
        <v>279.31988399999994</v>
      </c>
      <c r="G12" s="333">
        <v>285.49120199999993</v>
      </c>
      <c r="H12" s="333">
        <v>290.96030300000001</v>
      </c>
      <c r="I12" s="333">
        <v>299.78784000000002</v>
      </c>
      <c r="J12" s="333">
        <v>304.51493099999999</v>
      </c>
      <c r="K12" s="333">
        <v>309.84293400000001</v>
      </c>
      <c r="L12" s="333">
        <v>317.56662900000009</v>
      </c>
      <c r="M12" s="333">
        <v>318.95272800000004</v>
      </c>
      <c r="N12" s="333">
        <v>319.03661399999999</v>
      </c>
      <c r="O12" s="333">
        <v>299.91818499999999</v>
      </c>
      <c r="P12" s="333">
        <v>309.88165799999996</v>
      </c>
      <c r="Q12" s="333">
        <v>313.78562799999997</v>
      </c>
      <c r="R12" s="333">
        <v>307.21658199999996</v>
      </c>
      <c r="S12" s="333">
        <v>297.28669700000006</v>
      </c>
      <c r="T12" s="333">
        <v>291.08479199999999</v>
      </c>
      <c r="U12" s="333">
        <v>297.18085300000001</v>
      </c>
      <c r="V12" s="333">
        <v>295.50886199999997</v>
      </c>
      <c r="W12" s="333">
        <v>301.88049717200005</v>
      </c>
      <c r="X12" s="333">
        <v>303.44299672701999</v>
      </c>
      <c r="Y12" s="333">
        <v>301.80379999999997</v>
      </c>
      <c r="Z12" s="333">
        <v>283.81450000000001</v>
      </c>
      <c r="AA12" s="333">
        <v>300.88710605539995</v>
      </c>
      <c r="AB12" s="333">
        <v>295.86173303982997</v>
      </c>
      <c r="AC12" s="333">
        <v>287.37212462643902</v>
      </c>
      <c r="AD12" s="571">
        <v>293.2444509077751</v>
      </c>
      <c r="AE12" s="571">
        <v>299.45868306890191</v>
      </c>
      <c r="AF12" s="338"/>
      <c r="AG12" s="338"/>
      <c r="AH12" s="338"/>
      <c r="AI12" s="338"/>
      <c r="AJ12" s="340"/>
      <c r="AK12" s="2"/>
    </row>
    <row r="13" spans="1:38" ht="15.6">
      <c r="A13" s="68" t="s">
        <v>463</v>
      </c>
      <c r="T13" s="333"/>
      <c r="U13" s="333"/>
      <c r="V13" s="333"/>
      <c r="W13" s="333"/>
      <c r="X13" s="333"/>
      <c r="Y13" s="333" t="s">
        <v>462</v>
      </c>
      <c r="Z13" s="333"/>
      <c r="AA13" s="571"/>
      <c r="AB13" s="571"/>
      <c r="AC13" s="571"/>
      <c r="AD13" s="571"/>
      <c r="AE13" s="571"/>
      <c r="AF13" s="338"/>
      <c r="AG13" s="338"/>
      <c r="AH13" s="338"/>
      <c r="AI13" s="338"/>
      <c r="AJ13" s="340"/>
      <c r="AK13" s="340"/>
    </row>
    <row r="14" spans="1:38" ht="15.6">
      <c r="A14" s="604" t="s">
        <v>464</v>
      </c>
      <c r="F14" s="133">
        <v>138.60300000000001</v>
      </c>
      <c r="G14" s="133">
        <v>141.03299999999999</v>
      </c>
      <c r="H14" s="133">
        <v>140.38900000000001</v>
      </c>
      <c r="I14" s="133">
        <v>141.21</v>
      </c>
      <c r="J14" s="133">
        <v>141.35</v>
      </c>
      <c r="K14" s="133">
        <v>141.77500000000001</v>
      </c>
      <c r="L14" s="133">
        <v>144.005</v>
      </c>
      <c r="M14" s="133">
        <v>142.648</v>
      </c>
      <c r="N14" s="133">
        <v>138.13800000000001</v>
      </c>
      <c r="O14" s="133">
        <v>117.578</v>
      </c>
      <c r="P14" s="133">
        <v>125.05800000000001</v>
      </c>
      <c r="Q14" s="133">
        <v>125.43430000000001</v>
      </c>
      <c r="R14" s="133">
        <v>117.4872</v>
      </c>
      <c r="S14" s="133">
        <v>112.3817</v>
      </c>
      <c r="T14" s="133">
        <v>110.31329999999998</v>
      </c>
      <c r="U14" s="133">
        <v>109.91959999999999</v>
      </c>
      <c r="V14" s="133">
        <v>110.3973</v>
      </c>
      <c r="W14" s="133">
        <v>112.5804</v>
      </c>
      <c r="X14" s="133">
        <v>113.69429999999997</v>
      </c>
      <c r="Y14" s="600">
        <v>114.41189999999999</v>
      </c>
      <c r="Z14" s="600">
        <v>110.7105</v>
      </c>
      <c r="AA14" s="600">
        <v>120.40294999999998</v>
      </c>
      <c r="AB14" s="600">
        <v>114.77909999999999</v>
      </c>
      <c r="AC14" s="600">
        <v>109.66810000000002</v>
      </c>
      <c r="AD14" s="133"/>
      <c r="AE14" s="133"/>
      <c r="AF14" s="338"/>
      <c r="AG14" s="338"/>
      <c r="AH14" s="338"/>
      <c r="AI14" s="338"/>
      <c r="AJ14" s="340"/>
      <c r="AK14" s="340"/>
    </row>
    <row r="15" spans="1:38" ht="15.6">
      <c r="A15" s="604" t="s">
        <v>460</v>
      </c>
      <c r="F15" s="487">
        <v>1.2330000000000001</v>
      </c>
      <c r="G15" s="487">
        <v>1.212</v>
      </c>
      <c r="H15" s="487">
        <v>1.325</v>
      </c>
      <c r="I15" s="487">
        <v>1.5089999999999999</v>
      </c>
      <c r="J15" s="487">
        <v>1.6080000000000001</v>
      </c>
      <c r="K15" s="487">
        <v>1.7090000000000001</v>
      </c>
      <c r="L15" s="487">
        <v>1.7549999999999999</v>
      </c>
      <c r="M15" s="487">
        <v>1.7969999999999999</v>
      </c>
      <c r="N15" s="487">
        <v>1.8879999999999999</v>
      </c>
      <c r="O15" s="487">
        <v>1.8080000000000001</v>
      </c>
      <c r="P15" s="487">
        <v>1.752</v>
      </c>
      <c r="Q15" s="487">
        <v>1.6402000000000001</v>
      </c>
      <c r="R15" s="487">
        <v>1.4458</v>
      </c>
      <c r="S15" s="487">
        <v>1.2900999999999998</v>
      </c>
      <c r="T15" s="487">
        <v>1.2510999999999999</v>
      </c>
      <c r="U15" s="487">
        <v>1.355</v>
      </c>
      <c r="V15" s="487">
        <v>1.353</v>
      </c>
      <c r="W15" s="487">
        <v>1.3859999999999999</v>
      </c>
      <c r="X15" s="487">
        <v>1.4195</v>
      </c>
      <c r="Y15" s="601">
        <v>1.8888</v>
      </c>
      <c r="Z15" s="601">
        <v>1.9032</v>
      </c>
      <c r="AA15" s="601">
        <v>2.2254999999999998</v>
      </c>
      <c r="AB15" s="601">
        <v>2.2343999999999999</v>
      </c>
      <c r="AC15" s="601">
        <v>2.2399</v>
      </c>
      <c r="AD15" s="487"/>
      <c r="AE15" s="487"/>
      <c r="AF15" s="338"/>
      <c r="AG15" s="338"/>
      <c r="AH15" s="338"/>
      <c r="AI15" s="338"/>
      <c r="AJ15" s="340"/>
      <c r="AK15" s="340"/>
    </row>
    <row r="16" spans="1:38" ht="15.6">
      <c r="A16" s="604" t="s">
        <v>465</v>
      </c>
      <c r="F16" s="487">
        <v>7.0910000000000002</v>
      </c>
      <c r="G16" s="487">
        <v>7.4180000000000001</v>
      </c>
      <c r="H16" s="487">
        <v>8.2769999999999992</v>
      </c>
      <c r="I16" s="487">
        <v>8.6780000000000008</v>
      </c>
      <c r="J16" s="487">
        <v>8.6929999999999996</v>
      </c>
      <c r="K16" s="487">
        <v>8.8049999999999997</v>
      </c>
      <c r="L16" s="487">
        <v>8.9130000000000003</v>
      </c>
      <c r="M16" s="487">
        <v>9.9049999999999994</v>
      </c>
      <c r="N16" s="487">
        <v>9.9139999999999997</v>
      </c>
      <c r="O16" s="487">
        <v>9.81</v>
      </c>
      <c r="P16" s="487">
        <v>10.321999999999999</v>
      </c>
      <c r="Q16" s="487">
        <v>11.731999999999999</v>
      </c>
      <c r="R16" s="487">
        <v>10.728599999999998</v>
      </c>
      <c r="S16" s="487">
        <v>10.1082</v>
      </c>
      <c r="T16" s="487">
        <v>9.9001000000000001</v>
      </c>
      <c r="U16" s="487">
        <v>10.0626</v>
      </c>
      <c r="V16" s="487">
        <v>10.032999999999999</v>
      </c>
      <c r="W16" s="487">
        <v>10.5677</v>
      </c>
      <c r="X16" s="487">
        <v>10.265900000000002</v>
      </c>
      <c r="Y16" s="601">
        <v>11.584389999999999</v>
      </c>
      <c r="Z16" s="601">
        <v>11.8954</v>
      </c>
      <c r="AA16" s="601">
        <v>12.155200000000001</v>
      </c>
      <c r="AB16" s="601">
        <v>12.0929</v>
      </c>
      <c r="AC16" s="601">
        <v>11.680800000000001</v>
      </c>
      <c r="AD16" s="487"/>
      <c r="AE16" s="487"/>
      <c r="AF16" s="338"/>
      <c r="AG16" s="338"/>
      <c r="AH16" s="338"/>
      <c r="AI16" s="338"/>
      <c r="AJ16" s="340"/>
      <c r="AK16" s="340"/>
    </row>
    <row r="17" spans="1:37" ht="15.6">
      <c r="A17" s="605" t="s">
        <v>461</v>
      </c>
      <c r="F17" s="487">
        <v>1.2649999999999999</v>
      </c>
      <c r="G17" s="487">
        <v>1.31</v>
      </c>
      <c r="H17" s="487">
        <v>1.3220000000000001</v>
      </c>
      <c r="I17" s="487">
        <v>1.325</v>
      </c>
      <c r="J17" s="487">
        <v>1.504</v>
      </c>
      <c r="K17" s="487">
        <v>1.4370000000000001</v>
      </c>
      <c r="L17" s="487">
        <v>1.4790000000000001</v>
      </c>
      <c r="M17" s="487">
        <v>1.4530000000000001</v>
      </c>
      <c r="N17" s="487">
        <v>1.427</v>
      </c>
      <c r="O17" s="487">
        <v>1.3089999999999999</v>
      </c>
      <c r="P17" s="487">
        <v>1.3069999999999999</v>
      </c>
      <c r="Q17" s="487">
        <v>1.2332000000000001</v>
      </c>
      <c r="R17" s="487">
        <v>1.1391</v>
      </c>
      <c r="S17" s="487">
        <v>1.0908000000000002</v>
      </c>
      <c r="T17" s="487">
        <v>1.0405</v>
      </c>
      <c r="U17" s="487">
        <v>1.0250999999999999</v>
      </c>
      <c r="V17" s="487">
        <v>0.95469999999999988</v>
      </c>
      <c r="W17" s="487">
        <v>0.99060000000000004</v>
      </c>
      <c r="X17" s="487">
        <v>1.0526</v>
      </c>
      <c r="Y17" s="601">
        <v>1.0549000000000002</v>
      </c>
      <c r="Z17" s="601">
        <v>0.9083</v>
      </c>
      <c r="AA17" s="601">
        <v>0.96250000000000002</v>
      </c>
      <c r="AB17" s="601">
        <v>0.90670000000000006</v>
      </c>
      <c r="AC17" s="601">
        <v>0.89690000000000003</v>
      </c>
      <c r="AD17" s="487"/>
      <c r="AE17" s="487"/>
      <c r="AF17" s="338"/>
      <c r="AG17" s="338"/>
      <c r="AH17" s="338"/>
      <c r="AI17" s="338"/>
      <c r="AJ17" s="340"/>
      <c r="AK17" s="340"/>
    </row>
    <row r="18" spans="1:37" ht="15.6">
      <c r="A18" s="603" t="s">
        <v>50</v>
      </c>
      <c r="F18" s="333">
        <f t="shared" ref="F18:W18" si="6">SUM(F14:F17)-F6</f>
        <v>-3.9999999998485691E-4</v>
      </c>
      <c r="G18" s="333">
        <f t="shared" si="6"/>
        <v>-4.0000000001327862E-4</v>
      </c>
      <c r="H18" s="333">
        <f t="shared" si="6"/>
        <v>-1.1000000000080945E-3</v>
      </c>
      <c r="I18" s="333">
        <f t="shared" si="6"/>
        <v>1.0999999999796728E-3</v>
      </c>
      <c r="J18" s="333">
        <f t="shared" si="6"/>
        <v>-2.9999999998153726E-4</v>
      </c>
      <c r="K18" s="333">
        <f t="shared" si="6"/>
        <v>-7.9999999996971383E-4</v>
      </c>
      <c r="L18" s="333">
        <f t="shared" si="6"/>
        <v>1.4000000000180535E-3</v>
      </c>
      <c r="M18" s="333">
        <f t="shared" si="6"/>
        <v>-1.2999999999863121E-3</v>
      </c>
      <c r="N18" s="333">
        <f t="shared" si="6"/>
        <v>3.9999999998485691E-4</v>
      </c>
      <c r="O18" s="333">
        <f t="shared" si="6"/>
        <v>-9.0000000000145519E-4</v>
      </c>
      <c r="P18" s="333">
        <f t="shared" si="6"/>
        <v>-2.9999999998153726E-4</v>
      </c>
      <c r="Q18" s="333">
        <f t="shared" si="6"/>
        <v>1.0000000000331966E-4</v>
      </c>
      <c r="R18" s="333">
        <f t="shared" si="6"/>
        <v>-1.999999999782176E-4</v>
      </c>
      <c r="S18" s="333">
        <f t="shared" si="6"/>
        <v>0</v>
      </c>
      <c r="T18" s="333">
        <f t="shared" si="6"/>
        <v>0</v>
      </c>
      <c r="U18" s="333">
        <f t="shared" si="6"/>
        <v>0</v>
      </c>
      <c r="V18" s="333">
        <f t="shared" si="6"/>
        <v>0</v>
      </c>
      <c r="W18" s="333">
        <f t="shared" si="6"/>
        <v>9.9999999989108801E-5</v>
      </c>
      <c r="X18" s="333">
        <f>SUM(X14:X17)-X6</f>
        <v>2.999999999673264E-4</v>
      </c>
      <c r="Y18" s="602">
        <f>SUM(Y14:Y17)-Y6</f>
        <v>0</v>
      </c>
      <c r="Z18" s="602">
        <f>SUM(Z14:Z17)-Z6</f>
        <v>-1.0000000001753051E-4</v>
      </c>
      <c r="AA18" s="602">
        <f>SUM(AA14:AA17)-AA6</f>
        <v>0</v>
      </c>
      <c r="AB18" s="602">
        <f>SUM(AB14:AB17)-AB6</f>
        <v>0</v>
      </c>
      <c r="AC18" s="602">
        <f t="shared" ref="AC18" si="7">SUM(AC14:AC17)-AC6</f>
        <v>0</v>
      </c>
      <c r="AD18" s="333"/>
      <c r="AE18" s="333"/>
      <c r="AF18" s="338"/>
      <c r="AG18" s="338"/>
      <c r="AH18" s="338"/>
      <c r="AI18" s="338"/>
      <c r="AJ18" s="340"/>
      <c r="AK18" s="340"/>
    </row>
    <row r="19" spans="1:37" ht="15.6">
      <c r="A19" s="599"/>
      <c r="T19" s="333"/>
      <c r="U19" s="333"/>
      <c r="V19" s="333"/>
      <c r="W19" s="333"/>
      <c r="X19" s="333"/>
      <c r="Y19" s="333"/>
      <c r="Z19" s="333"/>
      <c r="AA19" s="571"/>
      <c r="AB19" s="571"/>
      <c r="AC19" s="571"/>
      <c r="AD19" s="571"/>
      <c r="AE19" s="571"/>
      <c r="AF19" s="338"/>
      <c r="AG19" s="338"/>
      <c r="AH19" s="338"/>
      <c r="AI19" s="338"/>
      <c r="AJ19" s="340"/>
      <c r="AK19" s="340"/>
    </row>
    <row r="20" spans="1:37">
      <c r="F20" s="68">
        <f>F3</f>
        <v>2000</v>
      </c>
      <c r="G20" s="68">
        <f t="shared" ref="G20:X20" si="8">G3</f>
        <v>2001</v>
      </c>
      <c r="H20" s="68">
        <f t="shared" si="8"/>
        <v>2002</v>
      </c>
      <c r="I20" s="68">
        <f t="shared" si="8"/>
        <v>2003</v>
      </c>
      <c r="J20" s="68">
        <f t="shared" si="8"/>
        <v>2004</v>
      </c>
      <c r="K20" s="68">
        <f t="shared" si="8"/>
        <v>2005</v>
      </c>
      <c r="L20" s="68">
        <f t="shared" si="8"/>
        <v>2006</v>
      </c>
      <c r="M20" s="68">
        <f t="shared" si="8"/>
        <v>2007</v>
      </c>
      <c r="N20" s="68">
        <f t="shared" si="8"/>
        <v>2008</v>
      </c>
      <c r="O20" s="68">
        <f t="shared" si="8"/>
        <v>2009</v>
      </c>
      <c r="P20" s="68">
        <f t="shared" si="8"/>
        <v>2010</v>
      </c>
      <c r="Q20" s="68">
        <f t="shared" si="8"/>
        <v>2011</v>
      </c>
      <c r="R20" s="68">
        <f t="shared" si="8"/>
        <v>2012</v>
      </c>
      <c r="S20" s="68">
        <f t="shared" si="8"/>
        <v>2013</v>
      </c>
      <c r="T20" s="68">
        <f t="shared" si="8"/>
        <v>2014</v>
      </c>
      <c r="U20" s="68">
        <f t="shared" si="8"/>
        <v>2015</v>
      </c>
      <c r="V20" s="68">
        <f t="shared" si="8"/>
        <v>2016</v>
      </c>
      <c r="W20" s="68">
        <f t="shared" si="8"/>
        <v>2017</v>
      </c>
      <c r="X20" s="68">
        <f t="shared" si="8"/>
        <v>2018</v>
      </c>
      <c r="Y20" s="68">
        <f t="shared" ref="Y20:AD20" si="9">Y3</f>
        <v>2019</v>
      </c>
      <c r="Z20" s="68">
        <f t="shared" si="9"/>
        <v>2020</v>
      </c>
      <c r="AA20" s="68">
        <f t="shared" si="9"/>
        <v>2021</v>
      </c>
      <c r="AB20" s="68">
        <f t="shared" si="9"/>
        <v>2022</v>
      </c>
      <c r="AC20" s="68">
        <f t="shared" ref="AC20" si="10">AC3</f>
        <v>2023</v>
      </c>
      <c r="AD20" s="271">
        <f t="shared" si="9"/>
        <v>2024</v>
      </c>
      <c r="AE20" s="271">
        <f t="shared" ref="AE20" si="11">AE3</f>
        <v>2025</v>
      </c>
      <c r="AG20" s="477"/>
    </row>
    <row r="21" spans="1:37">
      <c r="A21" t="str">
        <f>A5</f>
        <v>Agricoltura e Pesca</v>
      </c>
      <c r="F21" s="526">
        <f t="shared" ref="F21:Z21" si="12">F5/F$12</f>
        <v>1.7566239573549303E-2</v>
      </c>
      <c r="G21" s="526">
        <f t="shared" si="12"/>
        <v>1.8083219251008659E-2</v>
      </c>
      <c r="H21" s="526">
        <f t="shared" si="12"/>
        <v>1.6807103751194541E-2</v>
      </c>
      <c r="I21" s="526">
        <f t="shared" si="12"/>
        <v>1.721951097149237E-2</v>
      </c>
      <c r="J21" s="526">
        <f t="shared" si="12"/>
        <v>1.7026422917830589E-2</v>
      </c>
      <c r="K21" s="526">
        <f t="shared" si="12"/>
        <v>1.7313288157799332E-2</v>
      </c>
      <c r="L21" s="526">
        <f t="shared" si="12"/>
        <v>1.733022143205103E-2</v>
      </c>
      <c r="M21" s="526">
        <f t="shared" si="12"/>
        <v>1.7743068182818615E-2</v>
      </c>
      <c r="N21" s="526">
        <f t="shared" si="12"/>
        <v>1.777068759888481E-2</v>
      </c>
      <c r="O21" s="526">
        <f t="shared" si="12"/>
        <v>1.8838137474058134E-2</v>
      </c>
      <c r="P21" s="526">
        <f t="shared" si="12"/>
        <v>1.8104653357702123E-2</v>
      </c>
      <c r="Q21" s="526">
        <f t="shared" si="12"/>
        <v>1.8824953958694376E-2</v>
      </c>
      <c r="R21" s="526">
        <f t="shared" si="12"/>
        <v>1.9281511308526962E-2</v>
      </c>
      <c r="S21" s="526">
        <f t="shared" si="12"/>
        <v>1.9096380891876905E-2</v>
      </c>
      <c r="T21" s="526">
        <f t="shared" si="12"/>
        <v>1.8455447167435669E-2</v>
      </c>
      <c r="U21" s="526">
        <f t="shared" si="12"/>
        <v>1.9146253678732121E-2</v>
      </c>
      <c r="V21" s="526">
        <f t="shared" si="12"/>
        <v>1.8840382526328435E-2</v>
      </c>
      <c r="W21" s="526">
        <f t="shared" si="12"/>
        <v>1.9843613801215181E-2</v>
      </c>
      <c r="X21" s="526">
        <f t="shared" si="12"/>
        <v>1.9256664556528504E-2</v>
      </c>
      <c r="Y21" s="526">
        <f t="shared" si="12"/>
        <v>2.0054088119500154E-2</v>
      </c>
      <c r="Z21" s="526">
        <f t="shared" si="12"/>
        <v>2.2234593369965243E-2</v>
      </c>
      <c r="AA21" s="526">
        <f t="shared" ref="AA21:AB25" si="13">AA5/AA$12</f>
        <v>2.2313352300194083E-2</v>
      </c>
      <c r="AB21" s="526">
        <f t="shared" si="13"/>
        <v>2.236619089603303E-2</v>
      </c>
      <c r="AC21" s="526">
        <f t="shared" ref="AC21" si="14">AC5/AC$12</f>
        <v>2.2039019992746052E-2</v>
      </c>
      <c r="AD21" s="639">
        <f>AC21</f>
        <v>2.2039019992746052E-2</v>
      </c>
      <c r="AE21" s="639">
        <f>AD21</f>
        <v>2.2039019992746052E-2</v>
      </c>
      <c r="AG21" s="478"/>
    </row>
    <row r="22" spans="1:37">
      <c r="A22" t="str">
        <f>A6</f>
        <v>Industria</v>
      </c>
      <c r="F22" s="526">
        <f t="shared" ref="F22:Z25" si="15">F6/F$12</f>
        <v>0.5305472631515199</v>
      </c>
      <c r="G22" s="526">
        <f t="shared" si="15"/>
        <v>0.52881979879716234</v>
      </c>
      <c r="H22" s="526">
        <f t="shared" si="15"/>
        <v>0.52005066821778778</v>
      </c>
      <c r="I22" s="526">
        <f t="shared" si="15"/>
        <v>0.50942993551706428</v>
      </c>
      <c r="J22" s="526">
        <f t="shared" si="15"/>
        <v>0.50294840879247393</v>
      </c>
      <c r="K22" s="526">
        <f t="shared" si="15"/>
        <v>0.49614428192833981</v>
      </c>
      <c r="L22" s="526">
        <f t="shared" si="15"/>
        <v>0.4917097255832884</v>
      </c>
      <c r="M22" s="526">
        <f t="shared" si="15"/>
        <v>0.48848712151475926</v>
      </c>
      <c r="N22" s="526">
        <f t="shared" si="15"/>
        <v>0.47444899224011955</v>
      </c>
      <c r="O22" s="526">
        <f t="shared" si="15"/>
        <v>0.43513833614323855</v>
      </c>
      <c r="P22" s="526">
        <f t="shared" si="15"/>
        <v>0.44674893278130062</v>
      </c>
      <c r="Q22" s="526">
        <f t="shared" si="15"/>
        <v>0.44629067587505955</v>
      </c>
      <c r="R22" s="526">
        <f t="shared" si="15"/>
        <v>0.42576119800720913</v>
      </c>
      <c r="S22" s="526">
        <f t="shared" si="15"/>
        <v>0.42003494021126675</v>
      </c>
      <c r="T22" s="526">
        <f t="shared" si="15"/>
        <v>0.42085675159559693</v>
      </c>
      <c r="U22" s="526">
        <f t="shared" si="15"/>
        <v>0.41174355199794788</v>
      </c>
      <c r="V22" s="526">
        <f t="shared" si="15"/>
        <v>0.41534456587633578</v>
      </c>
      <c r="W22" s="526">
        <f t="shared" si="15"/>
        <v>0.41580890841212859</v>
      </c>
      <c r="X22" s="526">
        <f t="shared" si="15"/>
        <v>0.41665815775520881</v>
      </c>
      <c r="Y22" s="526">
        <f t="shared" si="15"/>
        <v>0.42723116806349026</v>
      </c>
      <c r="Z22" s="526">
        <f t="shared" si="15"/>
        <v>0.44189955058673885</v>
      </c>
      <c r="AA22" s="526">
        <f t="shared" si="13"/>
        <v>0.45115309784994956</v>
      </c>
      <c r="AB22" s="526">
        <f t="shared" si="13"/>
        <v>0.43943871572771859</v>
      </c>
      <c r="AC22" s="526">
        <f t="shared" ref="AC22" si="16">AC6/AC$12</f>
        <v>0.43318641347632986</v>
      </c>
      <c r="AD22" s="639">
        <f t="shared" ref="AD22:AE25" si="17">AC22</f>
        <v>0.43318641347632986</v>
      </c>
      <c r="AE22" s="639">
        <f t="shared" si="17"/>
        <v>0.43318641347632986</v>
      </c>
      <c r="AG22" s="477"/>
    </row>
    <row r="23" spans="1:37">
      <c r="A23" t="str">
        <f>A7</f>
        <v>Servizi</v>
      </c>
      <c r="F23" s="526">
        <f t="shared" si="15"/>
        <v>0.23309761935888537</v>
      </c>
      <c r="G23" s="526">
        <f t="shared" si="15"/>
        <v>0.23749488434323107</v>
      </c>
      <c r="H23" s="526">
        <f t="shared" si="15"/>
        <v>0.24676115353096806</v>
      </c>
      <c r="I23" s="526">
        <f t="shared" si="15"/>
        <v>0.25648038292680581</v>
      </c>
      <c r="J23" s="526">
        <f t="shared" si="15"/>
        <v>0.26125943886804026</v>
      </c>
      <c r="K23" s="526">
        <f t="shared" si="15"/>
        <v>0.27043702084230847</v>
      </c>
      <c r="L23" s="526">
        <f t="shared" si="15"/>
        <v>0.27797788539047019</v>
      </c>
      <c r="M23" s="526">
        <f t="shared" si="15"/>
        <v>0.28301529372716322</v>
      </c>
      <c r="N23" s="526">
        <f t="shared" si="15"/>
        <v>0.29342149424893282</v>
      </c>
      <c r="O23" s="526">
        <f t="shared" si="15"/>
        <v>0.31620256704340882</v>
      </c>
      <c r="P23" s="526">
        <f t="shared" si="15"/>
        <v>0.31071377577307274</v>
      </c>
      <c r="Q23" s="526">
        <f t="shared" si="15"/>
        <v>0.31137531894864223</v>
      </c>
      <c r="R23" s="526">
        <f t="shared" si="15"/>
        <v>0.32888328924901589</v>
      </c>
      <c r="S23" s="526">
        <f t="shared" si="15"/>
        <v>0.33555655536110307</v>
      </c>
      <c r="T23" s="526">
        <f t="shared" si="15"/>
        <v>0.33994012301405285</v>
      </c>
      <c r="U23" s="526">
        <f t="shared" si="15"/>
        <v>0.34639008186708448</v>
      </c>
      <c r="V23" s="526">
        <f t="shared" si="15"/>
        <v>0.3482078314118377</v>
      </c>
      <c r="W23" s="526">
        <f t="shared" si="15"/>
        <v>0.34740501947777802</v>
      </c>
      <c r="X23" s="526">
        <f t="shared" si="15"/>
        <v>0.34942246531853671</v>
      </c>
      <c r="Y23" s="526">
        <f t="shared" si="15"/>
        <v>0.33539471670005483</v>
      </c>
      <c r="Z23" s="526">
        <f t="shared" si="15"/>
        <v>0.3025736880955695</v>
      </c>
      <c r="AA23" s="526">
        <f t="shared" si="13"/>
        <v>0.30368499733310561</v>
      </c>
      <c r="AB23" s="526">
        <f t="shared" si="13"/>
        <v>0.32007464779925232</v>
      </c>
      <c r="AC23" s="526">
        <f t="shared" ref="AC23" si="18">AC7/AC$12</f>
        <v>0.32477367149413955</v>
      </c>
      <c r="AD23" s="639">
        <f t="shared" si="17"/>
        <v>0.32477367149413955</v>
      </c>
      <c r="AE23" s="639">
        <f t="shared" si="17"/>
        <v>0.32477367149413955</v>
      </c>
    </row>
    <row r="24" spans="1:37">
      <c r="A24" t="str">
        <f>A8</f>
        <v>di cui trasporti (+ magazzinaggio)</v>
      </c>
      <c r="F24" s="526">
        <f t="shared" si="15"/>
        <v>3.0480465185929985E-2</v>
      </c>
      <c r="G24" s="526">
        <f t="shared" si="15"/>
        <v>3.0008630528656374E-2</v>
      </c>
      <c r="H24" s="526">
        <f t="shared" si="15"/>
        <v>3.0817949759971205E-2</v>
      </c>
      <c r="I24" s="526">
        <f t="shared" si="15"/>
        <v>3.1566323704123558E-2</v>
      </c>
      <c r="J24" s="526">
        <f t="shared" si="15"/>
        <v>3.1534085926315389E-2</v>
      </c>
      <c r="K24" s="526">
        <f t="shared" si="15"/>
        <v>3.2009766600002564E-2</v>
      </c>
      <c r="L24" s="526">
        <f t="shared" si="15"/>
        <v>3.2180018511957675E-2</v>
      </c>
      <c r="M24" s="526">
        <f t="shared" si="15"/>
        <v>3.2618940321463556E-2</v>
      </c>
      <c r="N24" s="526">
        <f t="shared" si="15"/>
        <v>3.3974470403575686E-2</v>
      </c>
      <c r="O24" s="526">
        <f t="shared" si="15"/>
        <v>3.5125912755173551E-2</v>
      </c>
      <c r="P24" s="526">
        <f t="shared" si="15"/>
        <v>3.4419268532505397E-2</v>
      </c>
      <c r="Q24" s="526">
        <f t="shared" si="15"/>
        <v>3.4164088611477135E-2</v>
      </c>
      <c r="R24" s="526">
        <f t="shared" si="15"/>
        <v>3.5020896105145791E-2</v>
      </c>
      <c r="S24" s="526">
        <f t="shared" si="15"/>
        <v>3.6242119505266651E-2</v>
      </c>
      <c r="T24" s="526">
        <f t="shared" si="15"/>
        <v>3.594176091480588E-2</v>
      </c>
      <c r="U24" s="526">
        <f t="shared" si="15"/>
        <v>3.652859829431878E-2</v>
      </c>
      <c r="V24" s="526">
        <f t="shared" si="15"/>
        <v>3.7773824867560153E-2</v>
      </c>
      <c r="W24" s="526">
        <f t="shared" si="15"/>
        <v>3.7706642551057067E-2</v>
      </c>
      <c r="X24" s="526">
        <f t="shared" si="15"/>
        <v>3.8030207071746938E-2</v>
      </c>
      <c r="Y24" s="526">
        <f t="shared" si="15"/>
        <v>3.8850074121001797E-2</v>
      </c>
      <c r="Z24" s="526">
        <f t="shared" si="15"/>
        <v>3.5885058726738771E-2</v>
      </c>
      <c r="AA24" s="526">
        <f t="shared" si="13"/>
        <v>3.63395432371462E-2</v>
      </c>
      <c r="AB24" s="526">
        <f t="shared" si="13"/>
        <v>3.9227242674325785E-2</v>
      </c>
      <c r="AC24" s="526">
        <f t="shared" ref="AC24" si="19">AC8/AC$12</f>
        <v>4.0935076828665089E-2</v>
      </c>
      <c r="AD24" s="639">
        <f t="shared" si="17"/>
        <v>4.0935076828665089E-2</v>
      </c>
      <c r="AE24" s="639">
        <f t="shared" si="17"/>
        <v>4.0935076828665089E-2</v>
      </c>
    </row>
    <row r="25" spans="1:37">
      <c r="A25" t="str">
        <f>A9</f>
        <v>Domestico</v>
      </c>
      <c r="F25" s="526">
        <f t="shared" si="15"/>
        <v>0.21878750314818265</v>
      </c>
      <c r="G25" s="526">
        <f t="shared" si="15"/>
        <v>0.21560454251756597</v>
      </c>
      <c r="H25" s="526">
        <f t="shared" si="15"/>
        <v>0.21637865836289014</v>
      </c>
      <c r="I25" s="526">
        <f t="shared" si="15"/>
        <v>0.21687270571081199</v>
      </c>
      <c r="J25" s="526">
        <f t="shared" si="15"/>
        <v>0.21868287305754475</v>
      </c>
      <c r="K25" s="526">
        <f t="shared" si="15"/>
        <v>0.21602074036647226</v>
      </c>
      <c r="L25" s="526">
        <f t="shared" si="15"/>
        <v>0.21287690149584323</v>
      </c>
      <c r="M25" s="526">
        <f t="shared" si="15"/>
        <v>0.21075348820970105</v>
      </c>
      <c r="N25" s="526">
        <f t="shared" si="15"/>
        <v>0.21436066269183759</v>
      </c>
      <c r="O25" s="526">
        <f t="shared" si="15"/>
        <v>0.22981067320075971</v>
      </c>
      <c r="P25" s="526">
        <f t="shared" si="15"/>
        <v>0.22444213203480409</v>
      </c>
      <c r="Q25" s="526">
        <f t="shared" si="15"/>
        <v>0.22352967676390839</v>
      </c>
      <c r="R25" s="526">
        <f t="shared" si="15"/>
        <v>0.22608349962047303</v>
      </c>
      <c r="S25" s="526">
        <f t="shared" si="15"/>
        <v>0.22531516100769211</v>
      </c>
      <c r="T25" s="526">
        <f t="shared" si="15"/>
        <v>0.22074323965368825</v>
      </c>
      <c r="U25" s="526">
        <f t="shared" si="15"/>
        <v>0.2227172421501866</v>
      </c>
      <c r="V25" s="526">
        <f t="shared" si="15"/>
        <v>0.21760497998195399</v>
      </c>
      <c r="W25" s="526">
        <f t="shared" si="15"/>
        <v>0.21694246767682343</v>
      </c>
      <c r="X25" s="526">
        <f t="shared" si="15"/>
        <v>0.21466239360468267</v>
      </c>
      <c r="Y25" s="526">
        <f t="shared" si="15"/>
        <v>0.21731999398284582</v>
      </c>
      <c r="Z25" s="526">
        <f t="shared" si="15"/>
        <v>0.23329181560491097</v>
      </c>
      <c r="AA25" s="526">
        <f t="shared" si="13"/>
        <v>0.22284866533182116</v>
      </c>
      <c r="AB25" s="526">
        <f t="shared" si="13"/>
        <v>0.21809221265973383</v>
      </c>
      <c r="AC25" s="526">
        <f t="shared" ref="AC25" si="20">AC9/AC$12</f>
        <v>0.22000080934148961</v>
      </c>
      <c r="AD25" s="639">
        <f t="shared" si="17"/>
        <v>0.22000080934148961</v>
      </c>
      <c r="AE25" s="639">
        <f t="shared" si="17"/>
        <v>0.22000080934148961</v>
      </c>
    </row>
    <row r="26" spans="1:37">
      <c r="B26" s="125"/>
      <c r="C26" s="125"/>
      <c r="D26" s="125"/>
      <c r="E26" s="125"/>
      <c r="X26" s="638">
        <f t="shared" ref="X26:AD26" si="21">SUM(X21:X25)-X24</f>
        <v>0.99999968123495664</v>
      </c>
      <c r="Y26" s="638">
        <f t="shared" si="21"/>
        <v>0.99999996686589099</v>
      </c>
      <c r="Z26" s="638">
        <f t="shared" si="21"/>
        <v>0.99999964765718441</v>
      </c>
      <c r="AA26" s="638">
        <f t="shared" si="21"/>
        <v>1.0000001128150704</v>
      </c>
      <c r="AB26" s="638">
        <f t="shared" si="21"/>
        <v>0.99997176708273783</v>
      </c>
      <c r="AC26" s="638">
        <f t="shared" ref="AC26" si="22">SUM(AC21:AC25)-AC24</f>
        <v>0.99999991430470503</v>
      </c>
      <c r="AD26" s="638">
        <f t="shared" si="21"/>
        <v>0.99999991430470503</v>
      </c>
      <c r="AE26" s="638">
        <f t="shared" ref="AE26" si="23">SUM(AE21:AE25)-AE24</f>
        <v>0.99999991430470503</v>
      </c>
    </row>
    <row r="27" spans="1:37">
      <c r="B27" s="125"/>
      <c r="C27" s="125"/>
      <c r="D27" s="125"/>
      <c r="E27" s="125"/>
      <c r="F27" s="56">
        <f>(F10-F31)/F10</f>
        <v>2.2714136499599948E-2</v>
      </c>
      <c r="G27" s="56">
        <f t="shared" ref="G27:Y27" si="24">(G10-G31)/G10</f>
        <v>2.7208811948780342E-2</v>
      </c>
      <c r="H27" s="56">
        <f t="shared" si="24"/>
        <v>2.8212156258119632E-2</v>
      </c>
      <c r="I27" s="56">
        <f t="shared" si="24"/>
        <v>2.7861648007963136E-2</v>
      </c>
      <c r="J27" s="56">
        <f t="shared" si="24"/>
        <v>2.9422013421143631E-2</v>
      </c>
      <c r="K27" s="56">
        <f t="shared" si="24"/>
        <v>2.8845128458214086E-2</v>
      </c>
      <c r="L27" s="56">
        <f t="shared" si="24"/>
        <v>2.757569888754946E-2</v>
      </c>
      <c r="M27" s="56">
        <f t="shared" si="24"/>
        <v>3.020637427402937E-2</v>
      </c>
      <c r="N27" s="56">
        <f t="shared" si="24"/>
        <v>3.0467280147895032E-2</v>
      </c>
      <c r="O27" s="56">
        <f t="shared" si="24"/>
        <v>3.3006354765065186E-2</v>
      </c>
      <c r="P27" s="56">
        <f t="shared" si="24"/>
        <v>3.4114652519034484E-2</v>
      </c>
      <c r="Q27" s="56">
        <f t="shared" si="24"/>
        <v>3.8127456650438374E-2</v>
      </c>
      <c r="R27" s="56">
        <f t="shared" si="24"/>
        <v>3.4104290352663096E-2</v>
      </c>
      <c r="S27" s="56">
        <f t="shared" si="24"/>
        <v>3.3266098552378234E-2</v>
      </c>
      <c r="T27" s="56">
        <f t="shared" si="24"/>
        <v>3.2930421236517876E-2</v>
      </c>
      <c r="U27" s="56">
        <f t="shared" si="24"/>
        <v>3.2630038798034916E-2</v>
      </c>
      <c r="V27" s="56">
        <f t="shared" si="24"/>
        <v>3.2084392751199474E-2</v>
      </c>
      <c r="W27" s="56">
        <f t="shared" si="24"/>
        <v>3.2844707193740635E-2</v>
      </c>
      <c r="X27" s="56">
        <f t="shared" si="24"/>
        <v>3.4147542486576636E-2</v>
      </c>
      <c r="Y27" s="56">
        <f t="shared" si="24"/>
        <v>3.2707012758189671E-2</v>
      </c>
      <c r="Z27" s="56">
        <f>(Z10-Z31)/Z10</f>
        <v>3.0351643010361525E-2</v>
      </c>
      <c r="AA27" s="56">
        <f>(AA10-AA31)/AA10</f>
        <v>2.8871506705138574E-2</v>
      </c>
      <c r="AB27" s="284"/>
      <c r="AC27" s="284"/>
      <c r="AD27" s="284"/>
      <c r="AE27" s="284"/>
    </row>
    <row r="28" spans="1:37">
      <c r="A28" t="s">
        <v>183</v>
      </c>
    </row>
    <row r="29" spans="1:37">
      <c r="A29" s="482" t="s">
        <v>403</v>
      </c>
      <c r="F29" s="481">
        <v>23471.625</v>
      </c>
      <c r="G29" s="481">
        <v>23879.966</v>
      </c>
      <c r="H29" s="481">
        <v>24312.21</v>
      </c>
      <c r="I29" s="481">
        <v>25058.985000000001</v>
      </c>
      <c r="J29" s="481">
        <v>25411.092000000001</v>
      </c>
      <c r="K29" s="481">
        <v>25871.023000000001</v>
      </c>
      <c r="L29" s="481">
        <v>26550.043000000001</v>
      </c>
      <c r="M29" s="481">
        <v>26596.561000000002</v>
      </c>
      <c r="N29" s="481">
        <v>26596.474999999999</v>
      </c>
      <c r="O29" s="481">
        <v>24936.886999999999</v>
      </c>
      <c r="P29" s="481">
        <v>25736.285</v>
      </c>
      <c r="Q29" s="481">
        <v>25952.537</v>
      </c>
      <c r="R29" s="481">
        <v>25515.219000000001</v>
      </c>
      <c r="S29" s="481">
        <v>24711.78</v>
      </c>
      <c r="T29" s="481">
        <v>24204.471000000001</v>
      </c>
      <c r="U29" s="481">
        <v>24719.089</v>
      </c>
      <c r="V29" s="481">
        <v>24593.895</v>
      </c>
      <c r="W29" s="481">
        <v>25104.499</v>
      </c>
      <c r="X29" s="481">
        <v>25200.436000000002</v>
      </c>
      <c r="Y29" s="481">
        <v>25101.692999999999</v>
      </c>
      <c r="Z29" s="481">
        <v>23662.955000000002</v>
      </c>
      <c r="AA29" s="481">
        <v>25124.684000000001</v>
      </c>
      <c r="AB29" s="481">
        <v>24676.51</v>
      </c>
      <c r="AC29" s="481">
        <v>23978.05</v>
      </c>
    </row>
    <row r="30" spans="1:37">
      <c r="A30" s="271" t="s">
        <v>368</v>
      </c>
      <c r="F30" s="545">
        <f t="shared" ref="F30:Y30" si="25">F39*0.01163+F31-F10</f>
        <v>-4.9906999998938772E-4</v>
      </c>
      <c r="G30" s="545">
        <f t="shared" si="25"/>
        <v>-8.9295999998739717E-4</v>
      </c>
      <c r="H30" s="545">
        <f t="shared" si="25"/>
        <v>3.9128000003074703E-4</v>
      </c>
      <c r="I30" s="545">
        <f t="shared" si="25"/>
        <v>-6.0136000007560142E-4</v>
      </c>
      <c r="J30" s="545">
        <f t="shared" si="25"/>
        <v>2.9600999999956912E-4</v>
      </c>
      <c r="K30" s="545">
        <f t="shared" si="25"/>
        <v>2.8294619999996939E-2</v>
      </c>
      <c r="L30" s="545">
        <f t="shared" si="25"/>
        <v>3.2812059999969279E-2</v>
      </c>
      <c r="M30" s="545">
        <f t="shared" si="25"/>
        <v>1.6060400000696973E-3</v>
      </c>
      <c r="N30" s="545">
        <f t="shared" si="25"/>
        <v>-1.1908300000413874E-3</v>
      </c>
      <c r="O30" s="545">
        <f t="shared" si="25"/>
        <v>-1.0176000000683416E-4</v>
      </c>
      <c r="P30" s="545">
        <f t="shared" si="25"/>
        <v>-1.6101699999921948E-3</v>
      </c>
      <c r="Q30" s="545">
        <f t="shared" si="25"/>
        <v>-1.1045300000205316E-3</v>
      </c>
      <c r="R30" s="545">
        <f t="shared" si="25"/>
        <v>2.4993100000187951E-3</v>
      </c>
      <c r="S30" s="545">
        <f t="shared" si="25"/>
        <v>1.3907599999924969E-3</v>
      </c>
      <c r="T30" s="545">
        <f t="shared" si="25"/>
        <v>1.490520000061224E-3</v>
      </c>
      <c r="U30" s="545">
        <f t="shared" si="25"/>
        <v>6.0300000086499495E-6</v>
      </c>
      <c r="V30" s="545">
        <f t="shared" si="25"/>
        <v>7.843700000194076E-4</v>
      </c>
      <c r="W30" s="545">
        <f t="shared" si="25"/>
        <v>3.1299999818656943E-6</v>
      </c>
      <c r="X30" s="545">
        <f t="shared" si="25"/>
        <v>9.3629999980748835E-5</v>
      </c>
      <c r="Y30" s="545">
        <f t="shared" si="25"/>
        <v>-2.3095000000239452E-4</v>
      </c>
      <c r="Z30" s="545">
        <f>Z39*0.01163+Z31-Z10</f>
        <v>1.3091000005260867E-4</v>
      </c>
      <c r="AA30" s="545">
        <f>AA39*0.01163+AA31-AA10</f>
        <v>-7.1469999966211617E-5</v>
      </c>
      <c r="AB30" s="545">
        <f>AB39*0.01163+AB31-AB10</f>
        <v>-1.3382570000032956E-2</v>
      </c>
      <c r="AC30" s="545">
        <f>AC39*0.01163+AC31-AC10</f>
        <v>-1.087266000007503E-2</v>
      </c>
      <c r="AF30" t="s">
        <v>199</v>
      </c>
    </row>
    <row r="31" spans="1:37" ht="15.6">
      <c r="A31" t="s">
        <v>367</v>
      </c>
      <c r="F31" s="336">
        <f>F29*0.01163</f>
        <v>272.97499875</v>
      </c>
      <c r="G31" s="336">
        <f t="shared" ref="G31:W31" si="26">G29*0.01163</f>
        <v>277.72400457999998</v>
      </c>
      <c r="H31" s="336">
        <f t="shared" si="26"/>
        <v>282.75100229999998</v>
      </c>
      <c r="I31" s="336">
        <f t="shared" si="26"/>
        <v>291.43599554999997</v>
      </c>
      <c r="J31" s="336">
        <f t="shared" si="26"/>
        <v>295.53099995999997</v>
      </c>
      <c r="K31" s="336">
        <f t="shared" si="26"/>
        <v>300.87999748999999</v>
      </c>
      <c r="L31" s="336">
        <f t="shared" si="26"/>
        <v>308.77700009</v>
      </c>
      <c r="M31" s="336">
        <f t="shared" si="26"/>
        <v>309.31800443000003</v>
      </c>
      <c r="N31" s="336">
        <f t="shared" si="26"/>
        <v>309.31700424999997</v>
      </c>
      <c r="O31" s="336">
        <f t="shared" si="26"/>
        <v>290.01599580999999</v>
      </c>
      <c r="P31" s="336">
        <f t="shared" si="26"/>
        <v>299.31299454999998</v>
      </c>
      <c r="Q31" s="336">
        <f t="shared" si="26"/>
        <v>301.82800530999998</v>
      </c>
      <c r="R31" s="336">
        <f t="shared" si="26"/>
        <v>296.74199697</v>
      </c>
      <c r="S31" s="336">
        <f t="shared" si="26"/>
        <v>287.3980014</v>
      </c>
      <c r="T31" s="336">
        <f t="shared" si="26"/>
        <v>281.49799773000001</v>
      </c>
      <c r="U31" s="336">
        <f t="shared" si="26"/>
        <v>287.48300506999999</v>
      </c>
      <c r="V31" s="336">
        <f t="shared" si="26"/>
        <v>286.02699884999998</v>
      </c>
      <c r="W31" s="336">
        <f t="shared" si="26"/>
        <v>291.96532336999996</v>
      </c>
      <c r="X31" s="336">
        <f t="shared" ref="X31:AC31" si="27">X29*0.01163</f>
        <v>293.08107067999998</v>
      </c>
      <c r="Y31" s="336">
        <f t="shared" si="27"/>
        <v>291.93268959</v>
      </c>
      <c r="Z31" s="336">
        <f t="shared" si="27"/>
        <v>275.20016665000003</v>
      </c>
      <c r="AA31" s="336">
        <f t="shared" si="27"/>
        <v>292.20007492000002</v>
      </c>
      <c r="AB31" s="336">
        <f t="shared" si="27"/>
        <v>286.98781129999998</v>
      </c>
      <c r="AC31" s="336">
        <f t="shared" si="27"/>
        <v>278.86472149999997</v>
      </c>
      <c r="AF31" t="s">
        <v>199</v>
      </c>
    </row>
    <row r="32" spans="1:37">
      <c r="F32" s="485">
        <f>(F10-F31)*85.9845</f>
        <v>545.52876773062565</v>
      </c>
      <c r="G32" s="485">
        <f t="shared" ref="G32:W32" si="28">(G10-G31)*85.9845</f>
        <v>667.91860374099019</v>
      </c>
      <c r="H32" s="485">
        <f t="shared" si="28"/>
        <v>705.81216893564863</v>
      </c>
      <c r="I32" s="485">
        <f t="shared" si="28"/>
        <v>718.19451733102994</v>
      </c>
      <c r="J32" s="485">
        <f t="shared" si="28"/>
        <v>770.30934358937964</v>
      </c>
      <c r="K32" s="485">
        <f t="shared" si="28"/>
        <v>768.41789697109277</v>
      </c>
      <c r="L32" s="485">
        <f t="shared" si="28"/>
        <v>752.89747116139677</v>
      </c>
      <c r="M32" s="485">
        <f t="shared" si="28"/>
        <v>828.4086858886584</v>
      </c>
      <c r="N32" s="485">
        <f t="shared" si="28"/>
        <v>835.78617146587635</v>
      </c>
      <c r="O32" s="485">
        <f t="shared" si="28"/>
        <v>851.16952422505517</v>
      </c>
      <c r="P32" s="485">
        <f t="shared" si="28"/>
        <v>908.9942088155243</v>
      </c>
      <c r="Q32" s="485">
        <f t="shared" si="28"/>
        <v>1028.7266998723071</v>
      </c>
      <c r="R32" s="485">
        <f t="shared" si="28"/>
        <v>900.90285928303319</v>
      </c>
      <c r="S32" s="485">
        <f t="shared" si="28"/>
        <v>850.35219082169988</v>
      </c>
      <c r="T32" s="485">
        <f t="shared" si="28"/>
        <v>824.20461993481058</v>
      </c>
      <c r="U32" s="485">
        <f t="shared" si="28"/>
        <v>833.79126055858637</v>
      </c>
      <c r="V32" s="485">
        <f t="shared" si="28"/>
        <v>815.23634028217532</v>
      </c>
      <c r="W32" s="485">
        <f t="shared" si="28"/>
        <v>852.55150494223665</v>
      </c>
      <c r="X32" s="485">
        <f t="shared" ref="X32:AC32" si="29">(X10-X31)*85.9845</f>
        <v>890.95671316554228</v>
      </c>
      <c r="Y32" s="485">
        <f t="shared" si="29"/>
        <v>848.76163320364469</v>
      </c>
      <c r="Z32" s="485">
        <f t="shared" si="29"/>
        <v>740.69054748307065</v>
      </c>
      <c r="AA32" s="485">
        <f t="shared" si="29"/>
        <v>746.95294737125721</v>
      </c>
      <c r="AB32" s="485">
        <f t="shared" si="29"/>
        <v>762.30149188515338</v>
      </c>
      <c r="AC32" s="485">
        <f t="shared" si="29"/>
        <v>731.50268663325619</v>
      </c>
      <c r="AF32" t="s">
        <v>200</v>
      </c>
    </row>
    <row r="33" spans="1:32">
      <c r="A33" s="482" t="s">
        <v>404</v>
      </c>
      <c r="C33" s="56"/>
      <c r="D33" s="56"/>
      <c r="E33" s="56"/>
      <c r="F33" s="483">
        <v>1.8919999999999999</v>
      </c>
      <c r="G33" s="483">
        <v>2.58</v>
      </c>
      <c r="H33" s="483">
        <v>3.181</v>
      </c>
      <c r="I33" s="483">
        <v>2.7519999999999998</v>
      </c>
      <c r="J33" s="483">
        <v>3.181</v>
      </c>
      <c r="K33" s="483">
        <v>3.4390000000000001</v>
      </c>
      <c r="L33" s="483">
        <v>2.6659999999999999</v>
      </c>
      <c r="M33" s="483">
        <v>3.6110000000000002</v>
      </c>
      <c r="N33" s="483">
        <v>3.8690000000000002</v>
      </c>
      <c r="O33" s="483">
        <v>3.7829999999999999</v>
      </c>
      <c r="P33" s="483">
        <v>3.4390000000000001</v>
      </c>
      <c r="Q33" s="483">
        <v>3.6110000000000002</v>
      </c>
      <c r="R33" s="483">
        <v>4.2130000000000001</v>
      </c>
      <c r="S33" s="483">
        <v>3.5249999999999999</v>
      </c>
      <c r="T33" s="483">
        <v>2.4079999999999999</v>
      </c>
      <c r="U33" s="483">
        <v>3.2669999999999999</v>
      </c>
      <c r="V33" s="483">
        <v>3.181</v>
      </c>
      <c r="W33" s="483">
        <v>3.786</v>
      </c>
      <c r="X33" s="483">
        <v>3.508</v>
      </c>
      <c r="Y33" s="483">
        <v>20.556999999999999</v>
      </c>
      <c r="Z33" s="483">
        <v>18.98</v>
      </c>
      <c r="AA33" s="483">
        <v>21.873999999999999</v>
      </c>
      <c r="AB33" s="483">
        <v>21.893000000000001</v>
      </c>
      <c r="AC33" s="483">
        <v>21.809000000000001</v>
      </c>
    </row>
    <row r="34" spans="1:32">
      <c r="A34" s="482" t="s">
        <v>405</v>
      </c>
      <c r="C34" s="56"/>
      <c r="D34" s="56"/>
      <c r="E34" s="56"/>
      <c r="F34" s="483">
        <v>16.766999999999999</v>
      </c>
      <c r="G34" s="483">
        <v>21.065999999999999</v>
      </c>
      <c r="H34" s="483">
        <v>20.55</v>
      </c>
      <c r="I34" s="483">
        <v>19.776</v>
      </c>
      <c r="J34" s="483">
        <v>31.212</v>
      </c>
      <c r="K34" s="483">
        <v>28.117000000000001</v>
      </c>
      <c r="L34" s="483">
        <v>30.524999999999999</v>
      </c>
      <c r="M34" s="483">
        <v>29.321000000000002</v>
      </c>
      <c r="N34" s="483">
        <v>30.009</v>
      </c>
      <c r="O34" s="483">
        <v>29.321000000000002</v>
      </c>
      <c r="P34" s="483">
        <v>32.673999999999999</v>
      </c>
      <c r="Q34" s="483">
        <v>27.600999999999999</v>
      </c>
      <c r="R34" s="483">
        <v>29.407</v>
      </c>
      <c r="S34" s="483">
        <v>31.212</v>
      </c>
      <c r="T34" s="483">
        <v>31.212</v>
      </c>
      <c r="U34" s="483">
        <v>30.439</v>
      </c>
      <c r="V34" s="483">
        <v>26.053000000000001</v>
      </c>
      <c r="W34" s="483">
        <v>28.858000000000001</v>
      </c>
      <c r="X34" s="483">
        <v>33.646000000000001</v>
      </c>
      <c r="Y34" s="483">
        <v>14.414999999999999</v>
      </c>
      <c r="Z34" s="483">
        <v>10.943</v>
      </c>
      <c r="AA34" s="483">
        <v>10.679</v>
      </c>
      <c r="AB34" s="483">
        <v>9.8000000000000007</v>
      </c>
      <c r="AC34" s="483">
        <v>9.2650000000000006</v>
      </c>
    </row>
    <row r="35" spans="1:32">
      <c r="A35" s="482" t="s">
        <v>406</v>
      </c>
      <c r="C35" s="56"/>
      <c r="D35" s="56"/>
      <c r="E35" s="56"/>
      <c r="F35" s="483">
        <v>13.5</v>
      </c>
      <c r="G35" s="483">
        <v>14.617000000000001</v>
      </c>
      <c r="H35" s="483">
        <v>16.422999999999998</v>
      </c>
      <c r="I35" s="483">
        <v>10.231999999999999</v>
      </c>
      <c r="J35" s="483">
        <v>13.156000000000001</v>
      </c>
      <c r="K35" s="483">
        <v>14.101000000000001</v>
      </c>
      <c r="L35" s="483">
        <v>14.445</v>
      </c>
      <c r="M35" s="483">
        <v>14.617000000000001</v>
      </c>
      <c r="N35" s="483">
        <v>14.186999999999999</v>
      </c>
      <c r="O35" s="483">
        <v>6.5350000000000001</v>
      </c>
      <c r="P35" s="483">
        <v>15.648999999999999</v>
      </c>
      <c r="Q35" s="483">
        <v>17.626999999999999</v>
      </c>
      <c r="R35" s="483">
        <v>11.866</v>
      </c>
      <c r="S35" s="483">
        <v>4.8150000000000004</v>
      </c>
      <c r="T35" s="483">
        <v>3.6970000000000001</v>
      </c>
      <c r="U35" s="483">
        <v>3.4390000000000001</v>
      </c>
      <c r="V35" s="483">
        <v>3.6110000000000002</v>
      </c>
      <c r="W35" s="483">
        <v>3.7160000000000002</v>
      </c>
      <c r="X35" s="483">
        <v>3.827</v>
      </c>
      <c r="Y35" s="483">
        <v>3.78</v>
      </c>
      <c r="Z35" s="483">
        <v>3.1779999999999999</v>
      </c>
      <c r="AA35" s="483">
        <v>3.262</v>
      </c>
      <c r="AB35" s="483">
        <v>3.33</v>
      </c>
      <c r="AC35" s="483">
        <v>3.379</v>
      </c>
    </row>
    <row r="36" spans="1:32">
      <c r="A36" s="482" t="s">
        <v>407</v>
      </c>
      <c r="C36" s="56"/>
      <c r="D36" s="56"/>
      <c r="E36" s="56"/>
      <c r="F36" s="483">
        <v>369.47500000000002</v>
      </c>
      <c r="G36" s="483">
        <v>473.08699999999999</v>
      </c>
      <c r="H36" s="483">
        <v>466.63799999999998</v>
      </c>
      <c r="I36" s="483">
        <v>473.77499999999998</v>
      </c>
      <c r="J36" s="483">
        <v>504.90100000000001</v>
      </c>
      <c r="K36" s="483">
        <v>511.35</v>
      </c>
      <c r="L36" s="483">
        <v>493.72300000000001</v>
      </c>
      <c r="M36" s="483">
        <v>500.43</v>
      </c>
      <c r="N36" s="483">
        <v>501.63400000000001</v>
      </c>
      <c r="O36" s="483">
        <v>507.56700000000001</v>
      </c>
      <c r="P36" s="483">
        <v>503.78300000000002</v>
      </c>
      <c r="Q36" s="483">
        <v>508.85599999999999</v>
      </c>
      <c r="R36" s="483">
        <v>481.34100000000001</v>
      </c>
      <c r="S36" s="483">
        <v>462.42500000000001</v>
      </c>
      <c r="T36" s="483">
        <v>449.69900000000001</v>
      </c>
      <c r="U36" s="483">
        <v>454.77199999999999</v>
      </c>
      <c r="V36" s="483">
        <v>445.142</v>
      </c>
      <c r="W36" s="483">
        <v>448.02600000000001</v>
      </c>
      <c r="X36" s="483">
        <v>495.45800000000003</v>
      </c>
      <c r="Y36" s="483">
        <v>515.08799999999997</v>
      </c>
      <c r="Z36" s="483">
        <v>461.14699999999999</v>
      </c>
      <c r="AA36" s="483">
        <v>456.83199999999999</v>
      </c>
      <c r="AB36" s="483">
        <v>478.47399999999999</v>
      </c>
      <c r="AC36" s="483">
        <v>460.572</v>
      </c>
    </row>
    <row r="37" spans="1:32">
      <c r="A37" s="482" t="s">
        <v>408</v>
      </c>
      <c r="C37" s="56"/>
      <c r="D37" s="56"/>
      <c r="E37" s="56"/>
      <c r="F37" s="483">
        <v>0.17199999999999999</v>
      </c>
      <c r="G37" s="483">
        <v>0.34399999999999997</v>
      </c>
      <c r="H37" s="483">
        <v>0.43</v>
      </c>
      <c r="I37" s="483">
        <v>0.25800000000000001</v>
      </c>
      <c r="J37" s="483">
        <v>0.34399999999999997</v>
      </c>
      <c r="K37" s="483">
        <v>0.43</v>
      </c>
      <c r="L37" s="483">
        <v>0.51600000000000001</v>
      </c>
      <c r="M37" s="483">
        <v>0.51600000000000001</v>
      </c>
      <c r="N37" s="483">
        <v>0.43</v>
      </c>
      <c r="O37" s="483">
        <v>0.60199999999999998</v>
      </c>
      <c r="P37" s="483">
        <v>0.60199999999999998</v>
      </c>
      <c r="Q37" s="483">
        <v>0.60199999999999998</v>
      </c>
      <c r="R37" s="483">
        <v>0.60199999999999998</v>
      </c>
      <c r="S37" s="483">
        <v>0.51600000000000001</v>
      </c>
      <c r="T37" s="483">
        <v>0.51600000000000001</v>
      </c>
      <c r="U37" s="483">
        <v>0.51600000000000001</v>
      </c>
      <c r="V37" s="483">
        <v>0.51600000000000001</v>
      </c>
      <c r="W37" s="483">
        <v>0.46700000000000003</v>
      </c>
      <c r="X37" s="483">
        <v>0.46100000000000002</v>
      </c>
      <c r="Y37" s="483">
        <v>0.39200000000000002</v>
      </c>
      <c r="Z37" s="483">
        <v>6.7000000000000004E-2</v>
      </c>
      <c r="AA37" s="483">
        <v>0</v>
      </c>
      <c r="AB37" s="483">
        <v>0</v>
      </c>
      <c r="AC37" s="483">
        <v>0</v>
      </c>
    </row>
    <row r="38" spans="1:32">
      <c r="A38" s="482" t="s">
        <v>409</v>
      </c>
      <c r="C38" s="56"/>
      <c r="D38" s="56"/>
      <c r="E38" s="56"/>
      <c r="F38" s="483">
        <v>143.68</v>
      </c>
      <c r="G38" s="483">
        <v>156.148</v>
      </c>
      <c r="H38" s="483">
        <v>198.624</v>
      </c>
      <c r="I38" s="483">
        <v>211.35</v>
      </c>
      <c r="J38" s="483">
        <v>217.541</v>
      </c>
      <c r="K38" s="483">
        <v>213.41399999999999</v>
      </c>
      <c r="L38" s="483">
        <v>213.84399999999999</v>
      </c>
      <c r="M38" s="483">
        <v>280.05200000000002</v>
      </c>
      <c r="N38" s="483">
        <v>285.55500000000001</v>
      </c>
      <c r="O38" s="483">
        <v>303.35300000000001</v>
      </c>
      <c r="P38" s="483">
        <v>352.709</v>
      </c>
      <c r="Q38" s="483">
        <v>470.33499999999998</v>
      </c>
      <c r="R38" s="483">
        <v>373.68900000000002</v>
      </c>
      <c r="S38" s="483">
        <v>347.97899999999998</v>
      </c>
      <c r="T38" s="483">
        <v>336.80099999999999</v>
      </c>
      <c r="U38" s="483">
        <v>341.35899999999998</v>
      </c>
      <c r="V38" s="483">
        <v>336.80099999999999</v>
      </c>
      <c r="W38" s="483">
        <v>367.69900000000001</v>
      </c>
      <c r="X38" s="483">
        <v>354.065</v>
      </c>
      <c r="Y38" s="483">
        <v>294.51</v>
      </c>
      <c r="Z38" s="483">
        <v>246.387</v>
      </c>
      <c r="AA38" s="483">
        <v>254.3</v>
      </c>
      <c r="AB38" s="483">
        <v>247.654</v>
      </c>
      <c r="AC38" s="483">
        <v>235.54300000000001</v>
      </c>
    </row>
    <row r="39" spans="1:32">
      <c r="C39" s="56"/>
      <c r="D39" s="56"/>
      <c r="E39" s="56"/>
      <c r="F39" s="484">
        <f t="shared" ref="F39:X39" si="30">SUM(F33:F38)</f>
        <v>545.4860000000001</v>
      </c>
      <c r="G39" s="484">
        <f t="shared" si="30"/>
        <v>667.84199999999998</v>
      </c>
      <c r="H39" s="484">
        <f t="shared" si="30"/>
        <v>705.846</v>
      </c>
      <c r="I39" s="484">
        <f t="shared" si="30"/>
        <v>718.14299999999992</v>
      </c>
      <c r="J39" s="484">
        <f t="shared" si="30"/>
        <v>770.33500000000004</v>
      </c>
      <c r="K39" s="484">
        <f t="shared" si="30"/>
        <v>770.851</v>
      </c>
      <c r="L39" s="484">
        <f t="shared" si="30"/>
        <v>755.71900000000005</v>
      </c>
      <c r="M39" s="484">
        <f t="shared" si="30"/>
        <v>828.54700000000003</v>
      </c>
      <c r="N39" s="484">
        <f t="shared" si="30"/>
        <v>835.68399999999997</v>
      </c>
      <c r="O39" s="484">
        <f t="shared" si="30"/>
        <v>851.16100000000006</v>
      </c>
      <c r="P39" s="484">
        <f t="shared" si="30"/>
        <v>908.85599999999999</v>
      </c>
      <c r="Q39" s="484">
        <f t="shared" si="30"/>
        <v>1028.6319999999998</v>
      </c>
      <c r="R39" s="484">
        <f t="shared" si="30"/>
        <v>901.11799999999994</v>
      </c>
      <c r="S39" s="484">
        <f t="shared" si="30"/>
        <v>850.47199999999998</v>
      </c>
      <c r="T39" s="484">
        <f t="shared" si="30"/>
        <v>824.33300000000008</v>
      </c>
      <c r="U39" s="484">
        <f t="shared" si="30"/>
        <v>833.79199999999992</v>
      </c>
      <c r="V39" s="484">
        <f t="shared" si="30"/>
        <v>815.30399999999997</v>
      </c>
      <c r="W39" s="484">
        <f t="shared" si="30"/>
        <v>852.55200000000002</v>
      </c>
      <c r="X39" s="484">
        <f t="shared" si="30"/>
        <v>890.96500000000015</v>
      </c>
      <c r="Y39" s="484">
        <f>SUM(Y33:Y38)</f>
        <v>848.74199999999996</v>
      </c>
      <c r="Z39" s="484">
        <f>SUM(Z33:Z38)</f>
        <v>740.702</v>
      </c>
      <c r="AA39" s="484">
        <f>SUM(AA33:AA38)</f>
        <v>746.947</v>
      </c>
      <c r="AB39" s="484">
        <f>SUM(AB33:AB38)</f>
        <v>761.15099999999995</v>
      </c>
      <c r="AC39" s="484">
        <f>SUM(AC33:AC38)</f>
        <v>730.56799999999998</v>
      </c>
      <c r="AF39" t="s">
        <v>200</v>
      </c>
    </row>
    <row r="40" spans="1:32">
      <c r="F40" s="486">
        <f>(F39-F32)</f>
        <v>-4.2767730625541844E-2</v>
      </c>
      <c r="G40" s="486">
        <f t="shared" ref="G40:W40" si="31">(G39-G32)</f>
        <v>-7.660374099020828E-2</v>
      </c>
      <c r="H40" s="486">
        <f t="shared" si="31"/>
        <v>3.3831064351375062E-2</v>
      </c>
      <c r="I40" s="486">
        <f t="shared" si="31"/>
        <v>-5.151733103002698E-2</v>
      </c>
      <c r="J40" s="486">
        <f t="shared" si="31"/>
        <v>2.5656410620399583E-2</v>
      </c>
      <c r="K40" s="486">
        <f t="shared" si="31"/>
        <v>2.433103028907226</v>
      </c>
      <c r="L40" s="486">
        <f t="shared" si="31"/>
        <v>2.8215288386032853</v>
      </c>
      <c r="M40" s="486">
        <f t="shared" si="31"/>
        <v>0.13831411134162863</v>
      </c>
      <c r="N40" s="486">
        <f t="shared" si="31"/>
        <v>-0.10217146587638126</v>
      </c>
      <c r="O40" s="486">
        <f t="shared" si="31"/>
        <v>-8.5242250551118559E-3</v>
      </c>
      <c r="P40" s="486">
        <f t="shared" si="31"/>
        <v>-0.13820881552430819</v>
      </c>
      <c r="Q40" s="486">
        <f t="shared" si="31"/>
        <v>-9.4699872307273836E-2</v>
      </c>
      <c r="R40" s="486">
        <f t="shared" si="31"/>
        <v>0.21514071696674364</v>
      </c>
      <c r="S40" s="486">
        <f t="shared" si="31"/>
        <v>0.11980917830010185</v>
      </c>
      <c r="T40" s="486">
        <f t="shared" si="31"/>
        <v>0.12838006518950351</v>
      </c>
      <c r="U40" s="486">
        <f t="shared" si="31"/>
        <v>7.3944141354331805E-4</v>
      </c>
      <c r="V40" s="486">
        <f t="shared" si="31"/>
        <v>6.7659717824653853E-2</v>
      </c>
      <c r="W40" s="486">
        <f t="shared" si="31"/>
        <v>4.9505776337355201E-4</v>
      </c>
      <c r="X40" s="486">
        <f t="shared" ref="X40:AC40" si="32">(X39-X32)</f>
        <v>8.2868344578628239E-3</v>
      </c>
      <c r="Y40" s="486">
        <f t="shared" si="32"/>
        <v>-1.9633203644730202E-2</v>
      </c>
      <c r="Z40" s="486">
        <f t="shared" si="32"/>
        <v>1.1452516929352896E-2</v>
      </c>
      <c r="AA40" s="486">
        <f t="shared" si="32"/>
        <v>-5.9473712572071236E-3</v>
      </c>
      <c r="AB40" s="486">
        <f t="shared" si="32"/>
        <v>-1.1504918851534285</v>
      </c>
      <c r="AC40" s="486">
        <f t="shared" si="32"/>
        <v>-0.93468663325620582</v>
      </c>
      <c r="AF40" t="s">
        <v>200</v>
      </c>
    </row>
    <row r="42" spans="1:32" ht="15.6">
      <c r="F42" s="336">
        <f>F32*0.01163</f>
        <v>6.3444995687071764</v>
      </c>
      <c r="G42" s="336">
        <f t="shared" ref="G42:Y42" si="33">G32*0.01163</f>
        <v>7.7678933615077161</v>
      </c>
      <c r="H42" s="336">
        <f t="shared" si="33"/>
        <v>8.2085955247215932</v>
      </c>
      <c r="I42" s="336">
        <f t="shared" si="33"/>
        <v>8.3526022365598784</v>
      </c>
      <c r="J42" s="336">
        <f t="shared" si="33"/>
        <v>8.9586976659444844</v>
      </c>
      <c r="K42" s="336">
        <f t="shared" si="33"/>
        <v>8.9367001417738088</v>
      </c>
      <c r="L42" s="336">
        <f t="shared" si="33"/>
        <v>8.7561975896070443</v>
      </c>
      <c r="M42" s="336">
        <f t="shared" si="33"/>
        <v>9.6343930168850971</v>
      </c>
      <c r="N42" s="336">
        <f t="shared" si="33"/>
        <v>9.7201931741481413</v>
      </c>
      <c r="O42" s="336">
        <f t="shared" si="33"/>
        <v>9.8991015667373912</v>
      </c>
      <c r="P42" s="336">
        <f t="shared" si="33"/>
        <v>10.571602648524548</v>
      </c>
      <c r="Q42" s="336">
        <f t="shared" si="33"/>
        <v>11.964091519514932</v>
      </c>
      <c r="R42" s="336">
        <f t="shared" si="33"/>
        <v>10.477500253461676</v>
      </c>
      <c r="S42" s="336">
        <f t="shared" si="33"/>
        <v>9.8895959792563701</v>
      </c>
      <c r="T42" s="336">
        <f t="shared" si="33"/>
        <v>9.5854997298418461</v>
      </c>
      <c r="U42" s="336">
        <f t="shared" si="33"/>
        <v>9.6969923602963597</v>
      </c>
      <c r="V42" s="336">
        <f t="shared" si="33"/>
        <v>9.4811986374816986</v>
      </c>
      <c r="W42" s="336">
        <f t="shared" si="33"/>
        <v>9.9151740024782118</v>
      </c>
      <c r="X42" s="336">
        <f t="shared" si="33"/>
        <v>10.361826574115257</v>
      </c>
      <c r="Y42" s="336">
        <f t="shared" si="33"/>
        <v>9.8710977941583877</v>
      </c>
      <c r="Z42" s="336">
        <f>Z32*0.01163</f>
        <v>8.6142310672281113</v>
      </c>
      <c r="AA42" s="336">
        <f>AA32*0.01163</f>
        <v>8.6870627779277214</v>
      </c>
      <c r="AB42" s="336">
        <f>AB32*0.01163</f>
        <v>8.8655663506243343</v>
      </c>
      <c r="AC42" s="336">
        <f>AC32*0.01163</f>
        <v>8.5073762455447692</v>
      </c>
    </row>
    <row r="43" spans="1:32">
      <c r="P43" s="56">
        <f>P42/P10</f>
        <v>3.4114643478651563E-2</v>
      </c>
      <c r="Q43" s="56">
        <f t="shared" ref="Q43:Y43" si="34">Q42/Q10</f>
        <v>3.8127446546662364E-2</v>
      </c>
      <c r="R43" s="56">
        <f t="shared" si="34"/>
        <v>3.4104281315026151E-2</v>
      </c>
      <c r="S43" s="56">
        <f t="shared" si="34"/>
        <v>3.3266089736862119E-2</v>
      </c>
      <c r="T43" s="56">
        <f t="shared" si="34"/>
        <v>3.2930412509956243E-2</v>
      </c>
      <c r="U43" s="56">
        <f t="shared" si="34"/>
        <v>3.2630030151074636E-2</v>
      </c>
      <c r="V43" s="56">
        <f t="shared" si="34"/>
        <v>3.208438424883539E-2</v>
      </c>
      <c r="W43" s="56">
        <f t="shared" si="34"/>
        <v>3.2844698489893229E-2</v>
      </c>
      <c r="X43" s="56">
        <f t="shared" si="34"/>
        <v>3.4147533437477881E-2</v>
      </c>
      <c r="Y43" s="56">
        <f t="shared" si="34"/>
        <v>3.2707004090831292E-2</v>
      </c>
      <c r="Z43" s="56">
        <f>Z42/Z10</f>
        <v>3.0351634967176126E-2</v>
      </c>
      <c r="AA43" s="56">
        <f>AA42/AA10</f>
        <v>2.8871499054189294E-2</v>
      </c>
      <c r="AB43" s="56">
        <f>AB42/AB10</f>
        <v>2.9966081004801547E-2</v>
      </c>
      <c r="AC43" s="56">
        <f>AC42/AC10</f>
        <v>2.9604043835656863E-2</v>
      </c>
    </row>
    <row r="44" spans="1:32">
      <c r="A44" t="s">
        <v>557</v>
      </c>
    </row>
    <row r="45" spans="1:32">
      <c r="A45" s="738" t="s">
        <v>558</v>
      </c>
      <c r="F45" s="177">
        <v>-1.5999999998257408E-3</v>
      </c>
      <c r="G45" s="177">
        <v>1.2400000000525324E-3</v>
      </c>
      <c r="H45" s="177">
        <v>0.99711999999999534</v>
      </c>
      <c r="I45" s="177">
        <v>5.0000000010186341E-4</v>
      </c>
      <c r="J45" s="177">
        <v>1.8300000001545413E-3</v>
      </c>
      <c r="K45" s="177">
        <v>1.0048200000001088</v>
      </c>
      <c r="L45" s="177">
        <v>-0.9942799999998897</v>
      </c>
      <c r="M45" s="177">
        <v>4.7600000002603338E-3</v>
      </c>
      <c r="N45" s="177">
        <v>4.6500000003106834E-3</v>
      </c>
      <c r="O45" s="177">
        <v>-4.609999999502179E-3</v>
      </c>
      <c r="P45" s="177">
        <v>5.6700000004639151E-3</v>
      </c>
      <c r="Q45" s="177">
        <v>-0.10395000000062282</v>
      </c>
      <c r="R45" s="177">
        <v>0.10307000000102562</v>
      </c>
      <c r="S45" s="177">
        <v>0.19576999999981126</v>
      </c>
      <c r="T45" s="177">
        <v>-4.3699999996533734E-3</v>
      </c>
      <c r="U45" s="177">
        <v>0.10516999999981635</v>
      </c>
      <c r="V45" s="177">
        <v>0.39563000000043758</v>
      </c>
      <c r="W45" s="177">
        <v>3.9370000000417349E-2</v>
      </c>
      <c r="X45" s="177">
        <v>-2.4049999999988358E-2</v>
      </c>
      <c r="Y45" s="177">
        <v>-4.8699999999826105E-2</v>
      </c>
      <c r="Z45" s="177">
        <v>-1.91899999999805E-2</v>
      </c>
      <c r="AA45" s="177">
        <v>9.0000000004692993E-3</v>
      </c>
      <c r="AB45" s="177">
        <v>-13.38397999999961</v>
      </c>
      <c r="AC45" s="177">
        <v>-10.734909999999672</v>
      </c>
    </row>
    <row r="46" spans="1:32">
      <c r="F46" s="177">
        <f>F33*11.63</f>
        <v>22.003959999999999</v>
      </c>
      <c r="G46" s="177">
        <f t="shared" ref="G46:AA46" si="35">G33*11.63</f>
        <v>30.005400000000002</v>
      </c>
      <c r="H46" s="177">
        <f t="shared" si="35"/>
        <v>36.99503</v>
      </c>
      <c r="I46" s="177">
        <f t="shared" si="35"/>
        <v>32.005760000000002</v>
      </c>
      <c r="J46" s="177">
        <f t="shared" si="35"/>
        <v>36.99503</v>
      </c>
      <c r="K46" s="177">
        <f t="shared" si="35"/>
        <v>39.995570000000001</v>
      </c>
      <c r="L46" s="177">
        <f t="shared" si="35"/>
        <v>31.005580000000002</v>
      </c>
      <c r="M46" s="177">
        <f t="shared" si="35"/>
        <v>41.995930000000008</v>
      </c>
      <c r="N46" s="177">
        <f t="shared" si="35"/>
        <v>44.996470000000002</v>
      </c>
      <c r="O46" s="177">
        <f t="shared" si="35"/>
        <v>43.996290000000002</v>
      </c>
      <c r="P46" s="177">
        <f t="shared" si="35"/>
        <v>39.995570000000001</v>
      </c>
      <c r="Q46" s="177">
        <f t="shared" si="35"/>
        <v>41.995930000000008</v>
      </c>
      <c r="R46" s="177">
        <f t="shared" si="35"/>
        <v>48.997190000000003</v>
      </c>
      <c r="S46" s="177">
        <f t="shared" si="35"/>
        <v>40.995750000000001</v>
      </c>
      <c r="T46" s="177">
        <f t="shared" si="35"/>
        <v>28.005040000000001</v>
      </c>
      <c r="U46" s="177">
        <f t="shared" si="35"/>
        <v>37.99521</v>
      </c>
      <c r="V46" s="177">
        <f t="shared" si="35"/>
        <v>36.99503</v>
      </c>
      <c r="W46" s="177">
        <f t="shared" si="35"/>
        <v>44.031180000000006</v>
      </c>
      <c r="X46" s="177">
        <f t="shared" si="35"/>
        <v>40.79804</v>
      </c>
      <c r="Y46" s="177">
        <f t="shared" si="35"/>
        <v>239.07791</v>
      </c>
      <c r="Z46" s="177">
        <f t="shared" si="35"/>
        <v>220.73740000000001</v>
      </c>
      <c r="AA46" s="177">
        <f t="shared" si="35"/>
        <v>254.39462</v>
      </c>
      <c r="AB46" s="177">
        <f t="shared" ref="AB46:AC50" si="36">AB33*11.63</f>
        <v>254.61559000000003</v>
      </c>
      <c r="AC46" s="177">
        <f t="shared" si="36"/>
        <v>253.63867000000002</v>
      </c>
    </row>
    <row r="47" spans="1:32">
      <c r="F47" s="177">
        <f>F34*11.63</f>
        <v>195.00021000000001</v>
      </c>
      <c r="G47" s="177">
        <f t="shared" ref="G47:AA47" si="37">G34*11.63</f>
        <v>244.99758</v>
      </c>
      <c r="H47" s="177">
        <f t="shared" si="37"/>
        <v>238.99650000000003</v>
      </c>
      <c r="I47" s="177">
        <f t="shared" si="37"/>
        <v>229.99488000000002</v>
      </c>
      <c r="J47" s="177">
        <f t="shared" si="37"/>
        <v>362.99556000000001</v>
      </c>
      <c r="K47" s="177">
        <f t="shared" si="37"/>
        <v>327.00071000000003</v>
      </c>
      <c r="L47" s="177">
        <f t="shared" si="37"/>
        <v>355.00575000000003</v>
      </c>
      <c r="M47" s="177">
        <f t="shared" si="37"/>
        <v>341.00323000000003</v>
      </c>
      <c r="N47" s="177">
        <f t="shared" si="37"/>
        <v>349.00467000000003</v>
      </c>
      <c r="O47" s="177">
        <f t="shared" si="37"/>
        <v>341.00323000000003</v>
      </c>
      <c r="P47" s="177">
        <f t="shared" si="37"/>
        <v>379.99862000000002</v>
      </c>
      <c r="Q47" s="177">
        <f t="shared" si="37"/>
        <v>320.99963000000002</v>
      </c>
      <c r="R47" s="177">
        <f t="shared" si="37"/>
        <v>342.00341000000003</v>
      </c>
      <c r="S47" s="177">
        <f t="shared" si="37"/>
        <v>362.99556000000001</v>
      </c>
      <c r="T47" s="177">
        <f t="shared" si="37"/>
        <v>362.99556000000001</v>
      </c>
      <c r="U47" s="177">
        <f t="shared" si="37"/>
        <v>354.00557000000003</v>
      </c>
      <c r="V47" s="177">
        <f t="shared" si="37"/>
        <v>302.99639000000002</v>
      </c>
      <c r="W47" s="177">
        <f t="shared" si="37"/>
        <v>335.61854000000005</v>
      </c>
      <c r="X47" s="177">
        <f t="shared" si="37"/>
        <v>391.30298000000005</v>
      </c>
      <c r="Y47" s="177">
        <f t="shared" si="37"/>
        <v>167.64644999999999</v>
      </c>
      <c r="Z47" s="177">
        <f t="shared" si="37"/>
        <v>127.26709000000001</v>
      </c>
      <c r="AA47" s="177">
        <f t="shared" si="37"/>
        <v>124.19677000000001</v>
      </c>
      <c r="AB47" s="177">
        <f t="shared" si="36"/>
        <v>113.97400000000002</v>
      </c>
      <c r="AC47" s="177">
        <f t="shared" si="36"/>
        <v>107.75195000000001</v>
      </c>
    </row>
    <row r="48" spans="1:32">
      <c r="F48" s="177">
        <f>F35*11.63</f>
        <v>157.00500000000002</v>
      </c>
      <c r="G48" s="177">
        <f t="shared" ref="G48:U48" si="38">G35*11.63</f>
        <v>169.99571000000003</v>
      </c>
      <c r="H48" s="177">
        <f t="shared" si="38"/>
        <v>190.99948999999998</v>
      </c>
      <c r="I48" s="177">
        <f t="shared" si="38"/>
        <v>118.99816</v>
      </c>
      <c r="J48" s="177">
        <f t="shared" si="38"/>
        <v>153.00428000000002</v>
      </c>
      <c r="K48" s="177">
        <f t="shared" si="38"/>
        <v>163.99463000000003</v>
      </c>
      <c r="L48" s="177">
        <f t="shared" si="38"/>
        <v>167.99535</v>
      </c>
      <c r="M48" s="177">
        <f t="shared" si="38"/>
        <v>169.99571000000003</v>
      </c>
      <c r="N48" s="177">
        <f t="shared" si="38"/>
        <v>164.99481</v>
      </c>
      <c r="O48" s="177">
        <f t="shared" si="38"/>
        <v>76.002050000000011</v>
      </c>
      <c r="P48" s="177">
        <f t="shared" si="38"/>
        <v>181.99787000000001</v>
      </c>
      <c r="Q48" s="177">
        <f t="shared" si="38"/>
        <v>205.00201000000001</v>
      </c>
      <c r="R48" s="177">
        <f t="shared" si="38"/>
        <v>138.00158000000002</v>
      </c>
      <c r="S48" s="177">
        <f t="shared" si="38"/>
        <v>55.998450000000005</v>
      </c>
      <c r="T48" s="177">
        <f t="shared" si="38"/>
        <v>42.996110000000002</v>
      </c>
      <c r="U48" s="177">
        <f t="shared" si="38"/>
        <v>39.995570000000001</v>
      </c>
      <c r="V48" s="177">
        <f t="shared" ref="V48:AA48" si="39">V35*11.63</f>
        <v>41.995930000000008</v>
      </c>
      <c r="W48" s="177">
        <f t="shared" si="39"/>
        <v>43.217080000000003</v>
      </c>
      <c r="X48" s="177">
        <f t="shared" si="39"/>
        <v>44.508010000000006</v>
      </c>
      <c r="Y48" s="177">
        <f t="shared" si="39"/>
        <v>43.961399999999998</v>
      </c>
      <c r="Z48" s="177">
        <f t="shared" si="39"/>
        <v>36.960140000000003</v>
      </c>
      <c r="AA48" s="177">
        <f t="shared" si="39"/>
        <v>37.937060000000002</v>
      </c>
      <c r="AB48" s="177">
        <f t="shared" si="36"/>
        <v>38.727900000000005</v>
      </c>
      <c r="AC48" s="177">
        <f t="shared" si="36"/>
        <v>39.29777</v>
      </c>
    </row>
    <row r="49" spans="1:59">
      <c r="F49" s="177">
        <f>F36*11.63</f>
        <v>4296.9942500000006</v>
      </c>
      <c r="G49" s="177">
        <f t="shared" ref="G49:AA49" si="40">G36*11.63</f>
        <v>5502.0018100000007</v>
      </c>
      <c r="H49" s="177">
        <f t="shared" si="40"/>
        <v>5426.9999399999997</v>
      </c>
      <c r="I49" s="177">
        <f t="shared" si="40"/>
        <v>5510.0032499999998</v>
      </c>
      <c r="J49" s="177">
        <f t="shared" si="40"/>
        <v>5871.998630000001</v>
      </c>
      <c r="K49" s="177">
        <f t="shared" si="40"/>
        <v>5947.000500000001</v>
      </c>
      <c r="L49" s="177">
        <f t="shared" si="40"/>
        <v>5741.9984900000009</v>
      </c>
      <c r="M49" s="177">
        <f t="shared" si="40"/>
        <v>5820.0009000000009</v>
      </c>
      <c r="N49" s="177">
        <f t="shared" si="40"/>
        <v>5834.0034200000009</v>
      </c>
      <c r="O49" s="177">
        <f t="shared" si="40"/>
        <v>5903.0042100000001</v>
      </c>
      <c r="P49" s="177">
        <f t="shared" si="40"/>
        <v>5858.996290000001</v>
      </c>
      <c r="Q49" s="177">
        <f t="shared" si="40"/>
        <v>5917.9952800000001</v>
      </c>
      <c r="R49" s="177">
        <f t="shared" si="40"/>
        <v>5597.9958300000008</v>
      </c>
      <c r="S49" s="177">
        <f t="shared" si="40"/>
        <v>5378.0027500000006</v>
      </c>
      <c r="T49" s="177">
        <f t="shared" si="40"/>
        <v>5229.9993700000005</v>
      </c>
      <c r="U49" s="177">
        <f t="shared" si="40"/>
        <v>5288.9983600000005</v>
      </c>
      <c r="V49" s="177">
        <f t="shared" si="40"/>
        <v>5177.0014600000004</v>
      </c>
      <c r="W49" s="177">
        <f t="shared" si="40"/>
        <v>5210.5423800000008</v>
      </c>
      <c r="X49" s="177">
        <f t="shared" si="40"/>
        <v>5762.1765400000004</v>
      </c>
      <c r="Y49" s="177">
        <f t="shared" si="40"/>
        <v>5990.4734399999998</v>
      </c>
      <c r="Z49" s="177">
        <f t="shared" si="40"/>
        <v>5363.1396100000002</v>
      </c>
      <c r="AA49" s="177">
        <f t="shared" si="40"/>
        <v>5312.9561600000006</v>
      </c>
      <c r="AB49" s="177">
        <f t="shared" si="36"/>
        <v>5564.6526199999998</v>
      </c>
      <c r="AC49" s="177">
        <f t="shared" si="36"/>
        <v>5356.4523600000002</v>
      </c>
    </row>
    <row r="50" spans="1:59">
      <c r="F50" s="177">
        <f>F37*11.63</f>
        <v>2.0003600000000001</v>
      </c>
      <c r="G50" s="177">
        <f t="shared" ref="G50:AA50" si="41">G37*11.63</f>
        <v>4.0007200000000003</v>
      </c>
      <c r="H50" s="177">
        <f t="shared" si="41"/>
        <v>5.0009000000000006</v>
      </c>
      <c r="I50" s="177">
        <f t="shared" si="41"/>
        <v>3.0005400000000004</v>
      </c>
      <c r="J50" s="177">
        <f t="shared" si="41"/>
        <v>4.0007200000000003</v>
      </c>
      <c r="K50" s="177">
        <f t="shared" si="41"/>
        <v>5.0009000000000006</v>
      </c>
      <c r="L50" s="177">
        <f t="shared" si="41"/>
        <v>6.0010800000000009</v>
      </c>
      <c r="M50" s="177">
        <f t="shared" si="41"/>
        <v>6.0010800000000009</v>
      </c>
      <c r="N50" s="177">
        <f t="shared" si="41"/>
        <v>5.0009000000000006</v>
      </c>
      <c r="O50" s="177">
        <f t="shared" si="41"/>
        <v>7.0012600000000003</v>
      </c>
      <c r="P50" s="177">
        <f t="shared" si="41"/>
        <v>7.0012600000000003</v>
      </c>
      <c r="Q50" s="177">
        <f t="shared" si="41"/>
        <v>7.0012600000000003</v>
      </c>
      <c r="R50" s="177">
        <f t="shared" si="41"/>
        <v>7.0012600000000003</v>
      </c>
      <c r="S50" s="177">
        <f t="shared" si="41"/>
        <v>6.0010800000000009</v>
      </c>
      <c r="T50" s="177">
        <f t="shared" si="41"/>
        <v>6.0010800000000009</v>
      </c>
      <c r="U50" s="177">
        <f t="shared" si="41"/>
        <v>6.0010800000000009</v>
      </c>
      <c r="V50" s="177">
        <f t="shared" si="41"/>
        <v>6.0010800000000009</v>
      </c>
      <c r="W50" s="177">
        <f t="shared" si="41"/>
        <v>5.431210000000001</v>
      </c>
      <c r="X50" s="177">
        <f t="shared" si="41"/>
        <v>5.3614300000000004</v>
      </c>
      <c r="Y50" s="177">
        <f t="shared" si="41"/>
        <v>4.5589600000000008</v>
      </c>
      <c r="Z50" s="177">
        <f t="shared" si="41"/>
        <v>0.77921000000000007</v>
      </c>
      <c r="AA50" s="177">
        <f t="shared" si="41"/>
        <v>0</v>
      </c>
      <c r="AB50" s="177">
        <f t="shared" si="36"/>
        <v>0</v>
      </c>
      <c r="AC50" s="177">
        <f t="shared" si="36"/>
        <v>0</v>
      </c>
    </row>
    <row r="51" spans="1:59">
      <c r="F51" s="177"/>
    </row>
    <row r="52" spans="1:59">
      <c r="A52" t="s">
        <v>410</v>
      </c>
      <c r="F52" s="177">
        <f>'14'!E16</f>
        <v>500.19297350841993</v>
      </c>
      <c r="G52" s="177"/>
      <c r="H52" s="177"/>
      <c r="I52" s="177"/>
      <c r="J52" s="177"/>
      <c r="K52" s="177">
        <f>'19'!P37</f>
        <v>468.94016885011575</v>
      </c>
      <c r="L52" s="177"/>
      <c r="M52" s="177"/>
      <c r="N52" s="177"/>
      <c r="O52" s="177"/>
      <c r="P52" s="177">
        <f>'19'!Q37</f>
        <v>394.61768935117675</v>
      </c>
      <c r="Q52" s="177"/>
      <c r="R52" s="177"/>
      <c r="S52" s="177"/>
      <c r="T52" s="177"/>
      <c r="U52" s="177">
        <f>'19'!R37</f>
        <v>320.32287462768494</v>
      </c>
      <c r="V52" s="177">
        <f>'19'!S37</f>
        <v>319.82243351078824</v>
      </c>
      <c r="W52" s="177">
        <f>'19'!T37</f>
        <v>314.46317569058499</v>
      </c>
      <c r="X52" s="177">
        <f>'19'!U37</f>
        <v>287.47197149185996</v>
      </c>
      <c r="Y52" s="177">
        <f>'19'!V37</f>
        <v>274.64617533394795</v>
      </c>
      <c r="Z52" s="177">
        <f>'19'!W37</f>
        <v>260.73189985053409</v>
      </c>
      <c r="AA52" s="177">
        <f>'19'!X37</f>
        <v>260.77985404691844</v>
      </c>
      <c r="AB52" s="177">
        <f>'19'!Y37</f>
        <v>294.83349031347683</v>
      </c>
      <c r="AC52" s="177">
        <f>'19'!Z37</f>
        <v>236.32048807045334</v>
      </c>
      <c r="AZ52">
        <v>2005</v>
      </c>
      <c r="BA52">
        <v>2010</v>
      </c>
      <c r="BB52">
        <v>2015</v>
      </c>
      <c r="BC52">
        <v>2016</v>
      </c>
      <c r="BD52">
        <v>2017</v>
      </c>
      <c r="BE52">
        <v>2018</v>
      </c>
      <c r="BF52">
        <v>2019</v>
      </c>
      <c r="BG52">
        <v>2020</v>
      </c>
    </row>
    <row r="53" spans="1:59">
      <c r="A53" t="s">
        <v>371</v>
      </c>
      <c r="F53" s="177"/>
      <c r="G53" s="177"/>
      <c r="H53" s="177"/>
      <c r="I53" s="177"/>
      <c r="J53" s="177"/>
      <c r="K53" s="177"/>
      <c r="L53" s="177"/>
      <c r="M53" s="177"/>
      <c r="N53" s="177"/>
      <c r="O53" s="177"/>
      <c r="P53" s="177"/>
      <c r="Q53" s="177"/>
      <c r="R53" s="177"/>
      <c r="S53" s="177"/>
      <c r="T53" s="177"/>
      <c r="U53" s="177"/>
      <c r="V53" s="177"/>
      <c r="AG53">
        <v>2005</v>
      </c>
      <c r="AH53">
        <v>2010</v>
      </c>
      <c r="AI53">
        <v>2015</v>
      </c>
      <c r="AJ53">
        <v>2016</v>
      </c>
      <c r="AK53">
        <v>2017</v>
      </c>
      <c r="AL53">
        <v>2018</v>
      </c>
      <c r="AM53">
        <v>2019</v>
      </c>
      <c r="AN53">
        <v>2020</v>
      </c>
      <c r="AP53">
        <v>2005</v>
      </c>
      <c r="AQ53">
        <v>2010</v>
      </c>
      <c r="AR53">
        <v>2015</v>
      </c>
      <c r="AS53">
        <v>2016</v>
      </c>
      <c r="AT53">
        <v>2017</v>
      </c>
      <c r="AU53">
        <v>2018</v>
      </c>
      <c r="AV53">
        <v>2019</v>
      </c>
      <c r="AW53">
        <v>2020</v>
      </c>
      <c r="AY53" t="str">
        <f t="shared" ref="AY53:AY58" si="42">A54</f>
        <v>Agricoltura e Pesca</v>
      </c>
      <c r="AZ53" s="177">
        <f t="shared" ref="AZ53:AZ58" si="43">K54</f>
        <v>2.5155826417795613</v>
      </c>
      <c r="BA53" s="177">
        <f t="shared" ref="BA53:BA58" si="44">P54</f>
        <v>2.2139236225669068</v>
      </c>
      <c r="BB53" s="177">
        <f t="shared" ref="BB53:BG58" si="45">U54</f>
        <v>1.8226051243440644</v>
      </c>
      <c r="BC53" s="177">
        <f t="shared" si="45"/>
        <v>1.7806113985713135</v>
      </c>
      <c r="BD53" s="177">
        <f t="shared" si="45"/>
        <v>1.8837602076568802</v>
      </c>
      <c r="BE53" s="177">
        <f t="shared" si="45"/>
        <v>1.6797849710183852</v>
      </c>
      <c r="BF53" s="177">
        <f t="shared" si="45"/>
        <v>1.6622685115911866</v>
      </c>
      <c r="BG53" s="177">
        <f t="shared" si="45"/>
        <v>1.6453486540067954</v>
      </c>
    </row>
    <row r="54" spans="1:59">
      <c r="A54" t="str">
        <f>A5</f>
        <v>Agricoltura e Pesca</v>
      </c>
      <c r="F54" s="177">
        <f>F5*F$52/1000</f>
        <v>2.4542468438164131</v>
      </c>
      <c r="G54" s="177"/>
      <c r="H54" s="177"/>
      <c r="I54" s="177"/>
      <c r="J54" s="177"/>
      <c r="K54" s="177">
        <f>K5*K$52/1000</f>
        <v>2.5155826417795613</v>
      </c>
      <c r="L54" s="177"/>
      <c r="M54" s="177"/>
      <c r="N54" s="177"/>
      <c r="O54" s="177"/>
      <c r="P54" s="177">
        <f>P5*P$52/1000</f>
        <v>2.2139236225669068</v>
      </c>
      <c r="Q54" s="177"/>
      <c r="R54" s="177"/>
      <c r="S54" s="177"/>
      <c r="T54" s="177"/>
      <c r="U54" s="177">
        <f t="shared" ref="U54:AA55" si="46">U5*U$52/1000</f>
        <v>1.8226051243440644</v>
      </c>
      <c r="V54" s="177">
        <f t="shared" si="46"/>
        <v>1.7806113985713135</v>
      </c>
      <c r="W54" s="177">
        <f t="shared" si="46"/>
        <v>1.8837602076568802</v>
      </c>
      <c r="X54" s="177">
        <f t="shared" si="46"/>
        <v>1.6797849710183852</v>
      </c>
      <c r="Y54" s="177">
        <f t="shared" si="46"/>
        <v>1.6622685115911866</v>
      </c>
      <c r="Z54" s="177">
        <f t="shared" si="46"/>
        <v>1.6453486540067954</v>
      </c>
      <c r="AA54" s="177">
        <f t="shared" si="46"/>
        <v>1.750823784100201</v>
      </c>
      <c r="AB54" s="177">
        <f>AB5*AB$52/1000</f>
        <v>1.9510016554513703</v>
      </c>
      <c r="AC54" s="177">
        <f>AC5*AC$52/1000</f>
        <v>1.496712179145409</v>
      </c>
      <c r="AD54" s="198"/>
      <c r="AE54" s="198"/>
      <c r="AF54" t="str">
        <f>A54</f>
        <v>Agricoltura e Pesca</v>
      </c>
      <c r="AG54" s="177">
        <f>K54</f>
        <v>2.5155826417795613</v>
      </c>
      <c r="AH54" s="177">
        <f>P54</f>
        <v>2.2139236225669068</v>
      </c>
      <c r="AI54" s="177">
        <f t="shared" ref="AI54:AN55" si="47">U54</f>
        <v>1.8226051243440644</v>
      </c>
      <c r="AJ54" s="177">
        <f t="shared" si="47"/>
        <v>1.7806113985713135</v>
      </c>
      <c r="AK54" s="177">
        <f t="shared" si="47"/>
        <v>1.8837602076568802</v>
      </c>
      <c r="AL54" s="177">
        <f t="shared" si="47"/>
        <v>1.6797849710183852</v>
      </c>
      <c r="AM54" s="177">
        <f t="shared" si="47"/>
        <v>1.6622685115911866</v>
      </c>
      <c r="AN54" s="177">
        <f t="shared" si="47"/>
        <v>1.6453486540067954</v>
      </c>
      <c r="AP54" s="56">
        <f t="shared" ref="AP54:AW58" si="48">AG54/AG$59</f>
        <v>1.7314754175614164E-2</v>
      </c>
      <c r="AQ54" s="56">
        <f t="shared" si="48"/>
        <v>1.8104481474716719E-2</v>
      </c>
      <c r="AR54" s="56">
        <f t="shared" si="48"/>
        <v>1.9146308634497605E-2</v>
      </c>
      <c r="AS54" s="56">
        <f t="shared" si="48"/>
        <v>1.8840424732714689E-2</v>
      </c>
      <c r="AT54" s="56">
        <f t="shared" si="48"/>
        <v>1.9843613615321293E-2</v>
      </c>
      <c r="AU54" s="56">
        <f t="shared" si="48"/>
        <v>1.9256670694881968E-2</v>
      </c>
      <c r="AV54" s="56">
        <f t="shared" si="48"/>
        <v>2.0054088783974515E-2</v>
      </c>
      <c r="AW54" s="56">
        <f t="shared" si="48"/>
        <v>2.2234601204167231E-2</v>
      </c>
      <c r="AY54" t="str">
        <f t="shared" si="42"/>
        <v>Industria</v>
      </c>
      <c r="AZ54" s="177">
        <f t="shared" si="43"/>
        <v>72.088671548787971</v>
      </c>
      <c r="BA54" s="177">
        <f t="shared" si="44"/>
        <v>54.630596681394351</v>
      </c>
      <c r="BB54" s="177">
        <f t="shared" si="45"/>
        <v>39.195443682055171</v>
      </c>
      <c r="BC54" s="177">
        <f t="shared" si="45"/>
        <v>39.254365844247125</v>
      </c>
      <c r="BD54" s="177">
        <f t="shared" si="45"/>
        <v>39.472864343290404</v>
      </c>
      <c r="BE54" s="177">
        <f t="shared" si="45"/>
        <v>36.345656299658842</v>
      </c>
      <c r="BF54" s="177">
        <f t="shared" si="45"/>
        <v>35.412875101097498</v>
      </c>
      <c r="BG54" s="177">
        <f t="shared" si="45"/>
        <v>32.700343049504362</v>
      </c>
    </row>
    <row r="55" spans="1:59">
      <c r="A55" t="str">
        <f>A6</f>
        <v>Industria</v>
      </c>
      <c r="F55" s="177">
        <f>F6*F$52/1000</f>
        <v>74.124797207349175</v>
      </c>
      <c r="G55" s="177"/>
      <c r="H55" s="177"/>
      <c r="I55" s="177"/>
      <c r="J55" s="177"/>
      <c r="K55" s="177">
        <f>K6*K$52/1000</f>
        <v>72.088671548787971</v>
      </c>
      <c r="L55" s="177"/>
      <c r="M55" s="177"/>
      <c r="N55" s="177"/>
      <c r="O55" s="177"/>
      <c r="P55" s="177">
        <f>P6*P$52/1000</f>
        <v>54.630596681394351</v>
      </c>
      <c r="Q55" s="177"/>
      <c r="R55" s="177"/>
      <c r="S55" s="177"/>
      <c r="T55" s="177"/>
      <c r="U55" s="177">
        <f t="shared" si="46"/>
        <v>39.195443682055171</v>
      </c>
      <c r="V55" s="177">
        <f t="shared" si="46"/>
        <v>39.254365844247125</v>
      </c>
      <c r="W55" s="177">
        <f t="shared" si="46"/>
        <v>39.472864343290404</v>
      </c>
      <c r="X55" s="177">
        <f t="shared" si="46"/>
        <v>36.345656299658842</v>
      </c>
      <c r="Y55" s="177">
        <f t="shared" si="46"/>
        <v>35.412875101097498</v>
      </c>
      <c r="Z55" s="177">
        <f t="shared" si="46"/>
        <v>32.700343049504362</v>
      </c>
      <c r="AA55" s="177">
        <f t="shared" si="46"/>
        <v>35.399861184431103</v>
      </c>
      <c r="AB55" s="177">
        <f>AB6*AB$52/1000</f>
        <v>38.332216059475094</v>
      </c>
      <c r="AC55" s="177">
        <f>AC6*AC$52/1000</f>
        <v>29.418521381792033</v>
      </c>
      <c r="AD55" s="198"/>
      <c r="AE55" s="198"/>
      <c r="AF55" t="str">
        <f>A55</f>
        <v>Industria</v>
      </c>
      <c r="AG55" s="177">
        <f>K55</f>
        <v>72.088671548787971</v>
      </c>
      <c r="AH55" s="177">
        <f>P55</f>
        <v>54.630596681394351</v>
      </c>
      <c r="AI55" s="177">
        <f t="shared" si="47"/>
        <v>39.195443682055171</v>
      </c>
      <c r="AJ55" s="177">
        <f t="shared" si="47"/>
        <v>39.254365844247125</v>
      </c>
      <c r="AK55" s="177">
        <f t="shared" si="47"/>
        <v>39.472864343290404</v>
      </c>
      <c r="AL55" s="177">
        <f t="shared" si="47"/>
        <v>36.345656299658842</v>
      </c>
      <c r="AM55" s="177">
        <f t="shared" si="47"/>
        <v>35.412875101097498</v>
      </c>
      <c r="AN55" s="177">
        <f t="shared" si="47"/>
        <v>32.700343049504362</v>
      </c>
      <c r="AP55" s="56">
        <f t="shared" si="48"/>
        <v>0.49618629337927878</v>
      </c>
      <c r="AQ55" s="56">
        <f t="shared" si="48"/>
        <v>0.4467446914109317</v>
      </c>
      <c r="AR55" s="56">
        <f t="shared" si="48"/>
        <v>0.41174473383134791</v>
      </c>
      <c r="AS55" s="56">
        <f t="shared" si="48"/>
        <v>0.41534549633478862</v>
      </c>
      <c r="AT55" s="56">
        <f t="shared" si="48"/>
        <v>0.41580890451685354</v>
      </c>
      <c r="AU55" s="56">
        <f t="shared" si="48"/>
        <v>0.41665829057130682</v>
      </c>
      <c r="AV55" s="56">
        <f t="shared" si="48"/>
        <v>0.42723118221941481</v>
      </c>
      <c r="AW55" s="56">
        <f t="shared" si="48"/>
        <v>0.4418997062869256</v>
      </c>
      <c r="AY55" s="346" t="str">
        <f t="shared" si="42"/>
        <v>di cui da autoconsumo</v>
      </c>
      <c r="AZ55" s="177">
        <f t="shared" si="43"/>
        <v>6.9318735759424106</v>
      </c>
      <c r="BA55" s="177">
        <f t="shared" si="44"/>
        <v>5.4680200124945797</v>
      </c>
      <c r="BB55" s="177">
        <f t="shared" si="45"/>
        <v>5.240834584071016</v>
      </c>
      <c r="BC55" s="177">
        <f t="shared" si="45"/>
        <v>5.0638721027304188</v>
      </c>
      <c r="BD55" s="177">
        <f t="shared" si="45"/>
        <v>5.3333687538166616</v>
      </c>
      <c r="BE55" s="177">
        <f t="shared" si="45"/>
        <v>5.6154730719642778</v>
      </c>
      <c r="BF55" s="177">
        <f t="shared" si="45"/>
        <v>5.2604541138762091</v>
      </c>
      <c r="BG55" s="177">
        <f t="shared" si="45"/>
        <v>4.692418074800047</v>
      </c>
    </row>
    <row r="56" spans="1:59">
      <c r="A56" s="346" t="s">
        <v>370</v>
      </c>
      <c r="F56" s="347">
        <f>'13'!L30*'25x'!F52/1000</f>
        <v>8.8025960249905761</v>
      </c>
      <c r="G56" s="347"/>
      <c r="H56" s="347"/>
      <c r="I56" s="347"/>
      <c r="J56" s="347"/>
      <c r="K56" s="347">
        <f>'13'!Q30*'25x'!K52/1000</f>
        <v>6.9318735759424106</v>
      </c>
      <c r="L56" s="347"/>
      <c r="M56" s="347"/>
      <c r="N56" s="347"/>
      <c r="O56" s="347"/>
      <c r="P56" s="347">
        <f>'13'!V30*'25x'!P52/1000</f>
        <v>5.4680200124945797</v>
      </c>
      <c r="Q56" s="347"/>
      <c r="R56" s="347"/>
      <c r="S56" s="347"/>
      <c r="T56" s="347"/>
      <c r="U56" s="347">
        <f>'13'!AA30*'25x'!U52/1000</f>
        <v>5.240834584071016</v>
      </c>
      <c r="V56" s="347">
        <f>'13'!AB30*'25x'!V52/1000</f>
        <v>5.0638721027304188</v>
      </c>
      <c r="W56" s="347">
        <f>'13'!AC30*'25x'!W52/1000</f>
        <v>5.3333687538166616</v>
      </c>
      <c r="X56" s="347">
        <f>'13'!AD30*'25x'!X52/1000</f>
        <v>5.6154730719642778</v>
      </c>
      <c r="Y56" s="347">
        <f>'13'!AE30*'25x'!Y52/1000</f>
        <v>5.2604541138762091</v>
      </c>
      <c r="Z56" s="347">
        <f>'13'!AF30*'25x'!Z52/1000</f>
        <v>4.692418074800047</v>
      </c>
      <c r="AA56" s="347">
        <f>'13'!AG30*'25x'!AA52/1000</f>
        <v>5.2571914676588527</v>
      </c>
      <c r="AB56" s="347">
        <f>'13'!AH30*'25x'!AB52/1000</f>
        <v>5.7201235122698266</v>
      </c>
      <c r="AC56" s="347">
        <f>'13'!AI30*'25x'!AC52/1000</f>
        <v>5.2736571156338155</v>
      </c>
      <c r="AD56" s="198"/>
      <c r="AE56" s="198"/>
      <c r="AF56" t="str">
        <f>A57</f>
        <v>Servizi</v>
      </c>
      <c r="AG56" s="177">
        <f>K57-K58</f>
        <v>34.642954973802304</v>
      </c>
      <c r="AH56" s="177">
        <f>P57-P58</f>
        <v>33.786614097482662</v>
      </c>
      <c r="AI56" s="177">
        <f t="shared" ref="AI56:AN56" si="49">U57-U58</f>
        <v>29.49689987780291</v>
      </c>
      <c r="AJ56" s="177">
        <f t="shared" si="49"/>
        <v>29.339230760545668</v>
      </c>
      <c r="AK56" s="177">
        <f t="shared" si="49"/>
        <v>29.399759775346599</v>
      </c>
      <c r="AL56" s="177">
        <f t="shared" si="49"/>
        <v>27.163169091871548</v>
      </c>
      <c r="AM56" s="177">
        <f t="shared" si="49"/>
        <v>24.580365793890273</v>
      </c>
      <c r="AN56" s="177">
        <f t="shared" si="49"/>
        <v>19.734823572876909</v>
      </c>
      <c r="AP56" s="56">
        <f t="shared" si="48"/>
        <v>0.23844744327855796</v>
      </c>
      <c r="AQ56" s="56">
        <f t="shared" si="48"/>
        <v>0.27629188414009609</v>
      </c>
      <c r="AR56" s="56">
        <f t="shared" si="48"/>
        <v>0.30986237297260921</v>
      </c>
      <c r="AS56" s="56">
        <f t="shared" si="48"/>
        <v>0.31043470198119705</v>
      </c>
      <c r="AT56" s="56">
        <f t="shared" si="48"/>
        <v>0.30969837402548356</v>
      </c>
      <c r="AU56" s="56">
        <f t="shared" si="48"/>
        <v>0.3113923575077881</v>
      </c>
      <c r="AV56" s="56">
        <f t="shared" si="48"/>
        <v>0.29654465240479583</v>
      </c>
      <c r="AW56" s="56">
        <f t="shared" si="48"/>
        <v>0.2666887233346863</v>
      </c>
      <c r="AY56" t="str">
        <f t="shared" si="42"/>
        <v>Servizi</v>
      </c>
      <c r="AZ56" s="177">
        <f t="shared" si="43"/>
        <v>39.29390356845775</v>
      </c>
      <c r="BA56" s="177">
        <f t="shared" si="44"/>
        <v>37.99556691033338</v>
      </c>
      <c r="BB56" s="177">
        <f t="shared" si="45"/>
        <v>32.974196875611206</v>
      </c>
      <c r="BC56" s="177">
        <f t="shared" si="45"/>
        <v>32.909248674609842</v>
      </c>
      <c r="BD56" s="177">
        <f t="shared" si="45"/>
        <v>32.979262657914958</v>
      </c>
      <c r="BE56" s="177">
        <f t="shared" si="45"/>
        <v>30.480595642887611</v>
      </c>
      <c r="BF56" s="177">
        <f t="shared" si="45"/>
        <v>27.800619664298345</v>
      </c>
      <c r="BG56" s="177">
        <f t="shared" si="45"/>
        <v>22.390299753284644</v>
      </c>
    </row>
    <row r="57" spans="1:59">
      <c r="A57" t="s">
        <v>372</v>
      </c>
      <c r="F57" s="177">
        <f>F7*F$52/1000</f>
        <v>32.566964273565013</v>
      </c>
      <c r="G57" s="177"/>
      <c r="H57" s="177"/>
      <c r="I57" s="177"/>
      <c r="J57" s="177"/>
      <c r="K57" s="177">
        <f>K7*K$52/1000</f>
        <v>39.29390356845775</v>
      </c>
      <c r="L57" s="177"/>
      <c r="M57" s="177"/>
      <c r="N57" s="177"/>
      <c r="O57" s="177"/>
      <c r="P57" s="177">
        <f>P7*P$52/1000</f>
        <v>37.99556691033338</v>
      </c>
      <c r="Q57" s="177"/>
      <c r="R57" s="177"/>
      <c r="S57" s="177"/>
      <c r="T57" s="177"/>
      <c r="U57" s="177">
        <f t="shared" ref="U57:AA60" si="50">U7*U$52/1000</f>
        <v>32.974196875611206</v>
      </c>
      <c r="V57" s="177">
        <f t="shared" si="50"/>
        <v>32.909248674609842</v>
      </c>
      <c r="W57" s="177">
        <f t="shared" si="50"/>
        <v>32.979262657914958</v>
      </c>
      <c r="X57" s="177">
        <f t="shared" si="50"/>
        <v>30.480595642887611</v>
      </c>
      <c r="Y57" s="177">
        <f t="shared" si="50"/>
        <v>27.800619664298345</v>
      </c>
      <c r="Z57" s="177">
        <f t="shared" si="50"/>
        <v>22.390299753284644</v>
      </c>
      <c r="AA57" s="177">
        <f t="shared" si="50"/>
        <v>23.828733085551768</v>
      </c>
      <c r="AB57" s="177">
        <f t="shared" ref="AB57:AC60" si="51">AB7*AB$52/1000</f>
        <v>27.920094692347178</v>
      </c>
      <c r="AC57" s="177">
        <f t="shared" si="51"/>
        <v>22.056003840054679</v>
      </c>
      <c r="AD57" s="198"/>
      <c r="AE57" s="198"/>
      <c r="AF57" t="s">
        <v>374</v>
      </c>
      <c r="AG57" s="177">
        <f>K58</f>
        <v>4.6509485946554481</v>
      </c>
      <c r="AH57" s="177">
        <f>P58</f>
        <v>4.2089528128507157</v>
      </c>
      <c r="AI57" s="177">
        <f t="shared" ref="AI57:AN58" si="52">U58</f>
        <v>3.4772969978082968</v>
      </c>
      <c r="AJ57" s="177">
        <f t="shared" si="52"/>
        <v>3.5700179140641737</v>
      </c>
      <c r="AK57" s="177">
        <f t="shared" si="52"/>
        <v>3.5795028825683599</v>
      </c>
      <c r="AL57" s="177">
        <f t="shared" si="52"/>
        <v>3.3174265510160637</v>
      </c>
      <c r="AM57" s="177">
        <f t="shared" si="52"/>
        <v>3.2202538704080736</v>
      </c>
      <c r="AN57" s="177">
        <f t="shared" si="52"/>
        <v>2.6554761804077347</v>
      </c>
      <c r="AP57" s="56">
        <f t="shared" si="48"/>
        <v>3.2012477054981218E-2</v>
      </c>
      <c r="AQ57" s="56">
        <f t="shared" si="48"/>
        <v>3.4418941760900677E-2</v>
      </c>
      <c r="AR57" s="56">
        <f t="shared" si="48"/>
        <v>3.6528703142876366E-2</v>
      </c>
      <c r="AS57" s="56">
        <f t="shared" si="48"/>
        <v>3.7773909488806059E-2</v>
      </c>
      <c r="AT57" s="56">
        <f t="shared" si="48"/>
        <v>3.7706642197823312E-2</v>
      </c>
      <c r="AU57" s="56">
        <f t="shared" si="48"/>
        <v>3.8030219194451403E-2</v>
      </c>
      <c r="AV57" s="56">
        <f t="shared" si="48"/>
        <v>3.8850075408264427E-2</v>
      </c>
      <c r="AW57" s="56">
        <f t="shared" si="48"/>
        <v>3.5885071370585851E-2</v>
      </c>
      <c r="AY57" s="346" t="str">
        <f t="shared" si="42"/>
        <v>di cui trasporti (+ magazzinaggio)</v>
      </c>
      <c r="AZ57" s="177">
        <f t="shared" si="43"/>
        <v>4.6509485946554481</v>
      </c>
      <c r="BA57" s="177">
        <f t="shared" si="44"/>
        <v>4.2089528128507157</v>
      </c>
      <c r="BB57" s="177">
        <f t="shared" si="45"/>
        <v>3.4772969978082968</v>
      </c>
      <c r="BC57" s="177">
        <f t="shared" si="45"/>
        <v>3.5700179140641737</v>
      </c>
      <c r="BD57" s="177">
        <f t="shared" si="45"/>
        <v>3.5795028825683599</v>
      </c>
      <c r="BE57" s="177">
        <f t="shared" si="45"/>
        <v>3.3174265510160637</v>
      </c>
      <c r="BF57" s="177">
        <f t="shared" si="45"/>
        <v>3.2202538704080736</v>
      </c>
      <c r="BG57" s="177">
        <f t="shared" si="45"/>
        <v>2.6554761804077347</v>
      </c>
    </row>
    <row r="58" spans="1:59">
      <c r="A58" s="346" t="str">
        <f>A8</f>
        <v>di cui trasporti (+ magazzinaggio)</v>
      </c>
      <c r="F58" s="347">
        <f>F8*F$52/1000</f>
        <v>4.258542937855986</v>
      </c>
      <c r="G58" s="347"/>
      <c r="H58" s="347"/>
      <c r="I58" s="347"/>
      <c r="J58" s="347"/>
      <c r="K58" s="347">
        <f>K8*K$52/1000</f>
        <v>4.6509485946554481</v>
      </c>
      <c r="L58" s="347"/>
      <c r="M58" s="347"/>
      <c r="N58" s="347"/>
      <c r="O58" s="347"/>
      <c r="P58" s="347">
        <f>P8*P$52/1000</f>
        <v>4.2089528128507157</v>
      </c>
      <c r="Q58" s="347"/>
      <c r="R58" s="347"/>
      <c r="S58" s="347"/>
      <c r="T58" s="347"/>
      <c r="U58" s="347">
        <f t="shared" si="50"/>
        <v>3.4772969978082968</v>
      </c>
      <c r="V58" s="347">
        <f t="shared" si="50"/>
        <v>3.5700179140641737</v>
      </c>
      <c r="W58" s="347">
        <f t="shared" si="50"/>
        <v>3.5795028825683599</v>
      </c>
      <c r="X58" s="347">
        <f t="shared" si="50"/>
        <v>3.3174265510160637</v>
      </c>
      <c r="Y58" s="347">
        <f t="shared" si="50"/>
        <v>3.2202538704080736</v>
      </c>
      <c r="Z58" s="347">
        <f t="shared" si="50"/>
        <v>2.6554761804077347</v>
      </c>
      <c r="AA58" s="347">
        <f t="shared" si="50"/>
        <v>2.8513930021344112</v>
      </c>
      <c r="AB58" s="347">
        <f t="shared" si="51"/>
        <v>3.4217903152197624</v>
      </c>
      <c r="AC58" s="347">
        <f t="shared" si="51"/>
        <v>2.7799796934655849</v>
      </c>
      <c r="AD58" s="198"/>
      <c r="AE58" s="198"/>
      <c r="AF58" t="s">
        <v>373</v>
      </c>
      <c r="AG58" s="177">
        <f>K59</f>
        <v>31.387337851560375</v>
      </c>
      <c r="AH58" s="177">
        <f>P59</f>
        <v>27.445857603219018</v>
      </c>
      <c r="AI58" s="177">
        <f t="shared" si="52"/>
        <v>21.201306199844975</v>
      </c>
      <c r="AJ58" s="177">
        <f t="shared" si="52"/>
        <v>20.565925728964427</v>
      </c>
      <c r="AK58" s="177">
        <f t="shared" si="52"/>
        <v>20.594413500199398</v>
      </c>
      <c r="AL58" s="177">
        <f t="shared" si="52"/>
        <v>18.725291784642476</v>
      </c>
      <c r="AM58" s="177">
        <f t="shared" si="52"/>
        <v>18.013493347802978</v>
      </c>
      <c r="AN58" s="177">
        <f t="shared" si="52"/>
        <v>17.263476260143623</v>
      </c>
      <c r="AP58" s="56">
        <f t="shared" si="48"/>
        <v>0.21603903211156791</v>
      </c>
      <c r="AQ58" s="56">
        <f t="shared" si="48"/>
        <v>0.22444000121335494</v>
      </c>
      <c r="AR58" s="56">
        <f t="shared" si="48"/>
        <v>0.22271788141866883</v>
      </c>
      <c r="AS58" s="56">
        <f t="shared" si="48"/>
        <v>0.21760546746249337</v>
      </c>
      <c r="AT58" s="56">
        <f t="shared" si="48"/>
        <v>0.21694246564451833</v>
      </c>
      <c r="AU58" s="56">
        <f t="shared" si="48"/>
        <v>0.21466246203157166</v>
      </c>
      <c r="AV58" s="56">
        <f t="shared" si="48"/>
        <v>0.21732000118355041</v>
      </c>
      <c r="AW58" s="56">
        <f t="shared" si="48"/>
        <v>0.23329189780363505</v>
      </c>
      <c r="AY58" t="str">
        <f t="shared" si="42"/>
        <v>Residenziale</v>
      </c>
      <c r="AZ58" s="177">
        <f t="shared" si="43"/>
        <v>31.387337851560375</v>
      </c>
      <c r="BA58" s="177">
        <f t="shared" si="44"/>
        <v>27.445857603219018</v>
      </c>
      <c r="BB58" s="177">
        <f t="shared" si="45"/>
        <v>21.201306199844975</v>
      </c>
      <c r="BC58" s="177">
        <f t="shared" si="45"/>
        <v>20.565925728964427</v>
      </c>
      <c r="BD58" s="177">
        <f t="shared" si="45"/>
        <v>20.594413500199398</v>
      </c>
      <c r="BE58" s="177">
        <f t="shared" si="45"/>
        <v>18.725291784642476</v>
      </c>
      <c r="BF58" s="177">
        <f t="shared" si="45"/>
        <v>18.013493347802978</v>
      </c>
      <c r="BG58" s="177">
        <f t="shared" si="45"/>
        <v>17.263476260143623</v>
      </c>
    </row>
    <row r="59" spans="1:59">
      <c r="A59" t="s">
        <v>373</v>
      </c>
      <c r="F59" s="177">
        <f>F9*F$52/1000</f>
        <v>30.567642939154506</v>
      </c>
      <c r="G59" s="177"/>
      <c r="H59" s="177"/>
      <c r="I59" s="177"/>
      <c r="J59" s="177"/>
      <c r="K59" s="177">
        <f>K9*K$52/1000</f>
        <v>31.387337851560375</v>
      </c>
      <c r="L59" s="177"/>
      <c r="M59" s="177"/>
      <c r="N59" s="177"/>
      <c r="O59" s="177"/>
      <c r="P59" s="177">
        <f>P9*P$52/1000</f>
        <v>27.445857603219018</v>
      </c>
      <c r="Q59" s="177"/>
      <c r="R59" s="177"/>
      <c r="S59" s="177"/>
      <c r="T59" s="177"/>
      <c r="U59" s="177">
        <f t="shared" si="50"/>
        <v>21.201306199844975</v>
      </c>
      <c r="V59" s="177">
        <f t="shared" si="50"/>
        <v>20.565925728964427</v>
      </c>
      <c r="W59" s="177">
        <f t="shared" si="50"/>
        <v>20.594413500199398</v>
      </c>
      <c r="X59" s="177">
        <f t="shared" si="50"/>
        <v>18.725291784642476</v>
      </c>
      <c r="Y59" s="177">
        <f t="shared" si="50"/>
        <v>18.013493347802978</v>
      </c>
      <c r="Z59" s="177">
        <f t="shared" si="50"/>
        <v>17.263476260143623</v>
      </c>
      <c r="AA59" s="177">
        <f t="shared" si="50"/>
        <v>17.485886399711649</v>
      </c>
      <c r="AB59" s="177">
        <f t="shared" si="51"/>
        <v>19.024172239165736</v>
      </c>
      <c r="AC59" s="177">
        <f t="shared" si="51"/>
        <v>14.940677528839007</v>
      </c>
      <c r="AF59" s="68" t="s">
        <v>50</v>
      </c>
      <c r="AG59" s="209">
        <f t="shared" ref="AG59:AL59" si="53">SUM(AG54:AG58)</f>
        <v>145.28549561058566</v>
      </c>
      <c r="AH59" s="209">
        <f t="shared" si="53"/>
        <v>122.28594481751364</v>
      </c>
      <c r="AI59" s="209">
        <f t="shared" si="53"/>
        <v>95.193551881855427</v>
      </c>
      <c r="AJ59" s="209">
        <f t="shared" si="53"/>
        <v>94.510151646392728</v>
      </c>
      <c r="AK59" s="209">
        <f t="shared" si="53"/>
        <v>94.93030070906164</v>
      </c>
      <c r="AL59" s="209">
        <f t="shared" si="53"/>
        <v>87.231328698207321</v>
      </c>
      <c r="AM59" s="209">
        <f>SUM(AM54:AM58)</f>
        <v>82.889256624790008</v>
      </c>
      <c r="AN59" s="209">
        <f>SUM(AN54:AN58)</f>
        <v>73.999467716939421</v>
      </c>
      <c r="AX59" s="68" t="str">
        <f>A60</f>
        <v>Totale</v>
      </c>
      <c r="AY59" s="209">
        <f>K60</f>
        <v>145.28549561058563</v>
      </c>
      <c r="AZ59" s="209">
        <f>P60</f>
        <v>122.28594481751367</v>
      </c>
      <c r="BA59" s="209">
        <f t="shared" ref="BA59:BG59" si="54">U60</f>
        <v>95.193551881855413</v>
      </c>
      <c r="BB59" s="209">
        <f t="shared" si="54"/>
        <v>94.510151646392714</v>
      </c>
      <c r="BC59" s="209">
        <f t="shared" si="54"/>
        <v>94.930300709061626</v>
      </c>
      <c r="BD59" s="209">
        <f t="shared" si="54"/>
        <v>87.231328698207321</v>
      </c>
      <c r="BE59" s="209">
        <f t="shared" si="54"/>
        <v>82.889256624790008</v>
      </c>
      <c r="BF59" s="209">
        <f t="shared" si="54"/>
        <v>73.999467716939407</v>
      </c>
      <c r="BG59" s="209">
        <f t="shared" si="54"/>
        <v>78.465304453794715</v>
      </c>
    </row>
    <row r="60" spans="1:59">
      <c r="A60" s="68" t="str">
        <f>A10</f>
        <v>Totale</v>
      </c>
      <c r="B60" s="68"/>
      <c r="C60" s="68"/>
      <c r="D60" s="68"/>
      <c r="E60" s="68"/>
      <c r="F60" s="209">
        <f>F10*F$52/1000</f>
        <v>139.71365126388511</v>
      </c>
      <c r="G60" s="209"/>
      <c r="H60" s="209"/>
      <c r="I60" s="209"/>
      <c r="J60" s="209"/>
      <c r="K60" s="209">
        <f>K10*K$52/1000</f>
        <v>145.28549561058563</v>
      </c>
      <c r="L60" s="209"/>
      <c r="M60" s="209"/>
      <c r="N60" s="209"/>
      <c r="O60" s="209"/>
      <c r="P60" s="209">
        <f>P10*P$52/1000</f>
        <v>122.28594481751367</v>
      </c>
      <c r="Q60" s="209"/>
      <c r="R60" s="209"/>
      <c r="S60" s="209"/>
      <c r="T60" s="209"/>
      <c r="U60" s="209">
        <f t="shared" si="50"/>
        <v>95.193551881855413</v>
      </c>
      <c r="V60" s="209">
        <f t="shared" si="50"/>
        <v>94.510151646392714</v>
      </c>
      <c r="W60" s="209">
        <f t="shared" si="50"/>
        <v>94.930300709061626</v>
      </c>
      <c r="X60" s="209">
        <f t="shared" si="50"/>
        <v>87.231328698207321</v>
      </c>
      <c r="Y60" s="209">
        <f t="shared" si="50"/>
        <v>82.889256624790008</v>
      </c>
      <c r="Z60" s="209">
        <f t="shared" si="50"/>
        <v>73.999467716939407</v>
      </c>
      <c r="AA60" s="209">
        <f t="shared" si="50"/>
        <v>78.465304453794715</v>
      </c>
      <c r="AB60" s="209">
        <f t="shared" si="51"/>
        <v>87.227484646439379</v>
      </c>
      <c r="AC60" s="209">
        <f t="shared" si="51"/>
        <v>67.911914929831141</v>
      </c>
    </row>
    <row r="62" spans="1:59">
      <c r="F62" s="177"/>
      <c r="K62" s="177">
        <v>189.445043</v>
      </c>
      <c r="L62" s="177">
        <v>187.95621599999998</v>
      </c>
      <c r="M62" s="177">
        <v>187.60745500000002</v>
      </c>
      <c r="N62" s="177">
        <v>185.02887699999999</v>
      </c>
      <c r="O62" s="177">
        <v>172.57184399999997</v>
      </c>
      <c r="P62" s="177">
        <v>176.84450399999997</v>
      </c>
      <c r="Q62" s="177">
        <v>171.19176300000001</v>
      </c>
      <c r="R62" s="177">
        <v>164.44098499999998</v>
      </c>
      <c r="S62" s="177">
        <v>158.39115499999997</v>
      </c>
      <c r="T62" s="177">
        <v>149.84585400000003</v>
      </c>
      <c r="U62" s="177">
        <v>155.72961900000004</v>
      </c>
      <c r="V62" s="177">
        <v>154.27754999999999</v>
      </c>
      <c r="W62" s="177">
        <v>159.51265600000002</v>
      </c>
      <c r="X62" s="177">
        <v>156.98962299999999</v>
      </c>
      <c r="Y62" s="177">
        <v>155.43266800000004</v>
      </c>
      <c r="Z62" s="177">
        <v>141.59541799999997</v>
      </c>
      <c r="AA62" s="177">
        <v>154.06370699999999</v>
      </c>
      <c r="AB62" s="177">
        <v>148.064672</v>
      </c>
      <c r="AC62" s="177">
        <v>142.164298</v>
      </c>
    </row>
    <row r="63" spans="1:59">
      <c r="K63" s="56">
        <f>K60/K62</f>
        <v>0.76690048633568964</v>
      </c>
      <c r="L63" s="56">
        <f t="shared" ref="L63:W63" si="55">L60/L62</f>
        <v>0</v>
      </c>
      <c r="M63" s="56">
        <f t="shared" si="55"/>
        <v>0</v>
      </c>
      <c r="N63" s="56">
        <f t="shared" si="55"/>
        <v>0</v>
      </c>
      <c r="O63" s="56">
        <f t="shared" si="55"/>
        <v>0</v>
      </c>
      <c r="P63" s="56">
        <f t="shared" si="55"/>
        <v>0.69148852269400285</v>
      </c>
      <c r="Q63" s="56">
        <f t="shared" si="55"/>
        <v>0</v>
      </c>
      <c r="R63" s="56">
        <f t="shared" si="55"/>
        <v>0</v>
      </c>
      <c r="S63" s="56">
        <f t="shared" si="55"/>
        <v>0</v>
      </c>
      <c r="T63" s="56">
        <f t="shared" si="55"/>
        <v>0</v>
      </c>
      <c r="U63" s="56">
        <f t="shared" si="55"/>
        <v>0.61127454425901717</v>
      </c>
      <c r="V63" s="56">
        <f t="shared" si="55"/>
        <v>0.61259821436361106</v>
      </c>
      <c r="W63" s="56">
        <f t="shared" si="55"/>
        <v>0.59512707699545553</v>
      </c>
      <c r="X63" s="56">
        <f t="shared" ref="X63:AC63" si="56">X60/X62</f>
        <v>0.55565028459369781</v>
      </c>
      <c r="Y63" s="56">
        <f t="shared" si="56"/>
        <v>0.53328079413003437</v>
      </c>
      <c r="Z63" s="56">
        <f t="shared" si="56"/>
        <v>0.52261202207079482</v>
      </c>
      <c r="AA63" s="56">
        <f t="shared" si="56"/>
        <v>0.50930427406757595</v>
      </c>
      <c r="AB63" s="56">
        <f t="shared" si="56"/>
        <v>0.58911746784836949</v>
      </c>
      <c r="AC63" s="56">
        <f t="shared" si="56"/>
        <v>0.47770020944239561</v>
      </c>
    </row>
    <row r="66" spans="1:36">
      <c r="F66" s="332"/>
    </row>
    <row r="67" spans="1:36" ht="15.6">
      <c r="A67" t="s">
        <v>418</v>
      </c>
      <c r="F67" s="110">
        <v>2000</v>
      </c>
      <c r="G67" s="110">
        <v>2001</v>
      </c>
      <c r="H67" s="110">
        <v>2002</v>
      </c>
      <c r="I67" s="110">
        <v>2003</v>
      </c>
      <c r="J67" s="110">
        <v>2004</v>
      </c>
      <c r="K67" s="110">
        <v>2005</v>
      </c>
      <c r="L67" s="110">
        <v>2006</v>
      </c>
      <c r="M67" s="110">
        <v>2007</v>
      </c>
      <c r="N67" s="110">
        <v>2008</v>
      </c>
      <c r="O67" s="110">
        <v>2009</v>
      </c>
      <c r="P67" s="494">
        <v>2010</v>
      </c>
      <c r="Q67" s="110">
        <v>2011</v>
      </c>
      <c r="R67" s="110">
        <v>2012</v>
      </c>
      <c r="S67" s="494">
        <v>2013</v>
      </c>
      <c r="T67" s="110">
        <v>2014</v>
      </c>
      <c r="U67" s="494">
        <v>2015</v>
      </c>
      <c r="V67" s="110">
        <v>2016</v>
      </c>
      <c r="W67" s="3">
        <v>2017</v>
      </c>
      <c r="X67" s="495">
        <v>2018</v>
      </c>
      <c r="Y67" s="3">
        <v>2019</v>
      </c>
      <c r="Z67" s="3">
        <v>2020</v>
      </c>
      <c r="AA67" s="635">
        <v>2021</v>
      </c>
      <c r="AB67" s="3">
        <f>AA67+1</f>
        <v>2022</v>
      </c>
      <c r="AC67" s="3">
        <f>AB67+1</f>
        <v>2023</v>
      </c>
      <c r="AD67" s="648"/>
      <c r="AE67" s="648"/>
    </row>
    <row r="68" spans="1:36">
      <c r="A68" t="s">
        <v>122</v>
      </c>
      <c r="F68" s="636">
        <v>16625.150000000001</v>
      </c>
      <c r="G68" s="636">
        <v>16652.773000000001</v>
      </c>
      <c r="H68" s="636">
        <v>16588.951000000001</v>
      </c>
      <c r="I68" s="636">
        <v>16963.392</v>
      </c>
      <c r="J68" s="636">
        <v>14338.607</v>
      </c>
      <c r="K68" s="636">
        <v>13861.843999999999</v>
      </c>
      <c r="L68" s="636">
        <v>13294.023999999999</v>
      </c>
      <c r="M68" s="636">
        <v>12572.915000000001</v>
      </c>
      <c r="N68" s="636">
        <v>11301.268</v>
      </c>
      <c r="O68" s="636">
        <v>9897.0550000000003</v>
      </c>
      <c r="P68" s="636">
        <v>10350.407999999999</v>
      </c>
      <c r="Q68" s="636">
        <v>9307.8250000000007</v>
      </c>
      <c r="R68" s="636">
        <v>9043.0349999999999</v>
      </c>
      <c r="S68" s="636">
        <v>8731.0190000000002</v>
      </c>
      <c r="T68" s="636">
        <v>8546.4750000000004</v>
      </c>
      <c r="U68" s="636">
        <v>8273.2800000000007</v>
      </c>
      <c r="V68" s="636">
        <v>8361.93</v>
      </c>
      <c r="W68" s="636">
        <v>8870.5920000000006</v>
      </c>
      <c r="X68" s="636">
        <v>8649.1219999999994</v>
      </c>
      <c r="Y68" s="636">
        <v>8540.5769999999993</v>
      </c>
      <c r="Z68" s="643">
        <v>8081.3389999999999</v>
      </c>
      <c r="AA68" s="643">
        <v>11665.358</v>
      </c>
      <c r="AB68" s="643">
        <v>10161.755999999999</v>
      </c>
      <c r="AC68" s="643">
        <v>9678.3940000000002</v>
      </c>
      <c r="AF68" s="637" t="s">
        <v>481</v>
      </c>
      <c r="AG68" s="284">
        <f>Y68/Y$71</f>
        <v>0.25847181750459292</v>
      </c>
      <c r="AH68" s="284">
        <f t="shared" ref="AH68:AJ70" si="57">Z68/Z$71</f>
        <v>0.2540723437899477</v>
      </c>
      <c r="AI68" s="284">
        <f t="shared" si="57"/>
        <v>0.31885539210561242</v>
      </c>
      <c r="AJ68" s="284">
        <f t="shared" si="57"/>
        <v>0.3218577306527724</v>
      </c>
    </row>
    <row r="69" spans="1:36">
      <c r="A69" t="s">
        <v>374</v>
      </c>
      <c r="F69" s="636">
        <v>326.78399999999999</v>
      </c>
      <c r="G69" s="636">
        <v>367.73399999999998</v>
      </c>
      <c r="H69" s="636">
        <v>362.05900000000003</v>
      </c>
      <c r="I69" s="636">
        <v>364.42399999999998</v>
      </c>
      <c r="J69" s="636">
        <v>355.589</v>
      </c>
      <c r="K69" s="636">
        <v>379.536</v>
      </c>
      <c r="L69" s="636">
        <v>435.70499999999998</v>
      </c>
      <c r="M69" s="636">
        <v>484.05</v>
      </c>
      <c r="N69" s="636">
        <v>549.57000000000005</v>
      </c>
      <c r="O69" s="636">
        <v>601.096</v>
      </c>
      <c r="P69" s="636">
        <v>695.29200000000003</v>
      </c>
      <c r="Q69" s="636">
        <v>852.40800000000002</v>
      </c>
      <c r="R69" s="636">
        <v>885.77</v>
      </c>
      <c r="S69" s="636">
        <v>1030.8900000000001</v>
      </c>
      <c r="T69" s="636">
        <v>1072.077</v>
      </c>
      <c r="U69" s="636">
        <v>1087.425</v>
      </c>
      <c r="V69" s="636">
        <v>1105.7180000000001</v>
      </c>
      <c r="W69" s="636">
        <v>1064.1089999999999</v>
      </c>
      <c r="X69" s="636">
        <v>1093.114</v>
      </c>
      <c r="Y69" s="636">
        <v>1147.309</v>
      </c>
      <c r="Z69" s="642">
        <v>967.16800000000001</v>
      </c>
      <c r="AA69" s="642">
        <v>1277.32</v>
      </c>
      <c r="AB69" s="642">
        <v>1048.78</v>
      </c>
      <c r="AC69" s="642">
        <v>977.84100000000001</v>
      </c>
      <c r="AD69" s="610"/>
      <c r="AE69" s="610"/>
      <c r="AG69" s="284">
        <f>Y69/Y$71</f>
        <v>3.4722132060793671E-2</v>
      </c>
      <c r="AH69" s="284">
        <f t="shared" si="57"/>
        <v>3.0407168985069941E-2</v>
      </c>
      <c r="AI69" s="284">
        <f t="shared" si="57"/>
        <v>3.4913662267745303E-2</v>
      </c>
      <c r="AJ69" s="284">
        <f t="shared" si="57"/>
        <v>3.3218466449500918E-2</v>
      </c>
    </row>
    <row r="70" spans="1:36">
      <c r="A70" t="s">
        <v>417</v>
      </c>
      <c r="F70" s="636">
        <v>20659.415000000001</v>
      </c>
      <c r="G70" s="636">
        <v>21728.934000000001</v>
      </c>
      <c r="H70" s="636">
        <v>20888.736000000001</v>
      </c>
      <c r="I70" s="636">
        <v>23635.641</v>
      </c>
      <c r="J70" s="636">
        <v>24280.933000000001</v>
      </c>
      <c r="K70" s="636">
        <v>26348.968000000001</v>
      </c>
      <c r="L70" s="636">
        <v>24728.074000000001</v>
      </c>
      <c r="M70" s="636">
        <v>23169.367999999999</v>
      </c>
      <c r="N70" s="636">
        <v>24774.936000000002</v>
      </c>
      <c r="O70" s="636">
        <v>25572.656999999999</v>
      </c>
      <c r="P70" s="636">
        <v>27453.675999999999</v>
      </c>
      <c r="Q70" s="636">
        <v>25374.312000000002</v>
      </c>
      <c r="R70" s="636">
        <v>25521.581999999999</v>
      </c>
      <c r="S70" s="636">
        <v>25460.361000000001</v>
      </c>
      <c r="T70" s="636">
        <v>21284.156999999999</v>
      </c>
      <c r="U70" s="644">
        <v>23623.13</v>
      </c>
      <c r="V70" s="644">
        <v>23769.367999999999</v>
      </c>
      <c r="W70" s="644">
        <v>23986.757000000001</v>
      </c>
      <c r="X70" s="644">
        <v>23886.333999999999</v>
      </c>
      <c r="Y70" s="644">
        <v>23354.699000000001</v>
      </c>
      <c r="Z70" s="644">
        <v>22758.728999999999</v>
      </c>
      <c r="AA70" s="644">
        <v>23642.427</v>
      </c>
      <c r="AB70" s="644">
        <v>20361.662</v>
      </c>
      <c r="AC70" s="644">
        <v>18812.444</v>
      </c>
      <c r="AD70" s="610"/>
      <c r="AE70" s="610"/>
      <c r="AG70" s="284">
        <f>Y70/Y$71</f>
        <v>0.70680605043461342</v>
      </c>
      <c r="AH70" s="284">
        <f t="shared" si="57"/>
        <v>0.7155204872249824</v>
      </c>
      <c r="AI70" s="284">
        <f t="shared" si="57"/>
        <v>0.64623094562664241</v>
      </c>
      <c r="AJ70" s="284">
        <f t="shared" si="57"/>
        <v>0.64492380289772666</v>
      </c>
    </row>
    <row r="71" spans="1:36">
      <c r="U71" s="645">
        <f t="shared" ref="U71:AA71" si="58">SUM(U68:U70)</f>
        <v>32983.834999999999</v>
      </c>
      <c r="V71" s="645">
        <f t="shared" si="58"/>
        <v>33237.016000000003</v>
      </c>
      <c r="W71" s="645">
        <f t="shared" si="58"/>
        <v>33921.457999999999</v>
      </c>
      <c r="X71" s="645">
        <f t="shared" si="58"/>
        <v>33628.57</v>
      </c>
      <c r="Y71" s="645">
        <f t="shared" si="58"/>
        <v>33042.584999999999</v>
      </c>
      <c r="Z71" s="645">
        <f t="shared" si="58"/>
        <v>31807.235999999997</v>
      </c>
      <c r="AA71" s="645">
        <f t="shared" si="58"/>
        <v>36585.104999999996</v>
      </c>
      <c r="AB71" s="645">
        <f>SUM(AB68:AB70)</f>
        <v>31572.198</v>
      </c>
      <c r="AC71" s="645">
        <f>SUM(AC68:AC70)</f>
        <v>29468.679</v>
      </c>
      <c r="AD71" s="649"/>
      <c r="AE71" s="649"/>
    </row>
    <row r="72" spans="1:36">
      <c r="A72" t="s">
        <v>419</v>
      </c>
    </row>
    <row r="73" spans="1:36">
      <c r="A73" t="s">
        <v>122</v>
      </c>
      <c r="F73" s="522">
        <v>37585.368000000002</v>
      </c>
      <c r="G73" s="522">
        <v>36376.508999999998</v>
      </c>
      <c r="H73" s="522">
        <v>36622.733</v>
      </c>
      <c r="I73" s="522">
        <v>38225.618999999999</v>
      </c>
      <c r="J73" s="522">
        <v>37509.213000000003</v>
      </c>
      <c r="K73" s="522">
        <v>37211.521000000001</v>
      </c>
      <c r="L73" s="522">
        <v>36144.576999999997</v>
      </c>
      <c r="M73" s="522">
        <v>35907.652000000002</v>
      </c>
      <c r="N73" s="522">
        <v>34528.294999999998</v>
      </c>
      <c r="O73" s="522">
        <v>28552.886999999999</v>
      </c>
      <c r="P73" s="522">
        <v>29014.718000000001</v>
      </c>
      <c r="Q73" s="522">
        <v>27744.858</v>
      </c>
      <c r="R73" s="522">
        <v>26948.704000000002</v>
      </c>
      <c r="S73" s="522">
        <v>25353.587</v>
      </c>
      <c r="T73" s="522">
        <v>24739.084999999999</v>
      </c>
      <c r="U73" s="522">
        <v>24853.371999999999</v>
      </c>
      <c r="V73" s="522">
        <v>25088.949000000001</v>
      </c>
      <c r="W73" s="522">
        <v>24925.749</v>
      </c>
      <c r="X73" s="522">
        <v>24663.853999999999</v>
      </c>
      <c r="Y73" s="522">
        <v>24928.486000000001</v>
      </c>
      <c r="Z73" s="522">
        <v>23861.102999999999</v>
      </c>
      <c r="AA73" s="522">
        <v>26438.992999999999</v>
      </c>
      <c r="AB73" s="522">
        <v>24626.605</v>
      </c>
      <c r="AC73" s="522">
        <v>23502.312000000002</v>
      </c>
      <c r="AD73" s="525"/>
      <c r="AE73" s="525"/>
      <c r="AG73" s="284">
        <f t="shared" ref="AG73:AJ75" si="59">Y73/Y$76</f>
        <v>0.22037307210250998</v>
      </c>
      <c r="AH73" s="284">
        <f t="shared" si="59"/>
        <v>0.23153273396943541</v>
      </c>
      <c r="AI73" s="284">
        <f t="shared" si="59"/>
        <v>0.23045597451192334</v>
      </c>
      <c r="AJ73" s="284">
        <f t="shared" si="59"/>
        <v>0.22230646398525161</v>
      </c>
    </row>
    <row r="74" spans="1:36">
      <c r="A74" t="s">
        <v>374</v>
      </c>
      <c r="F74" s="524">
        <v>39691.974999999999</v>
      </c>
      <c r="G74" s="524">
        <v>40361.042000000001</v>
      </c>
      <c r="H74" s="524">
        <v>41082.495000000003</v>
      </c>
      <c r="I74" s="524">
        <v>41411.447999999997</v>
      </c>
      <c r="J74" s="524">
        <v>42309.925999999999</v>
      </c>
      <c r="K74" s="524">
        <v>41838.889000000003</v>
      </c>
      <c r="L74" s="524">
        <v>42216.673999999999</v>
      </c>
      <c r="M74" s="524">
        <v>42314.794000000002</v>
      </c>
      <c r="N74" s="524">
        <v>40707.409</v>
      </c>
      <c r="O74" s="524">
        <v>39131.362999999998</v>
      </c>
      <c r="P74" s="524">
        <v>38566.288</v>
      </c>
      <c r="Q74" s="524">
        <v>38572.097000000002</v>
      </c>
      <c r="R74" s="524">
        <v>36348.733999999997</v>
      </c>
      <c r="S74" s="524">
        <v>35701.271999999997</v>
      </c>
      <c r="T74" s="524">
        <v>37009.372000000003</v>
      </c>
      <c r="U74" s="524">
        <v>36374.374000000003</v>
      </c>
      <c r="V74" s="524">
        <v>35814.500999999997</v>
      </c>
      <c r="W74" s="524">
        <v>34525.408000000003</v>
      </c>
      <c r="X74" s="524">
        <v>35579.483999999997</v>
      </c>
      <c r="Y74" s="524">
        <v>35861.201999999997</v>
      </c>
      <c r="Z74" s="524">
        <v>28976.457999999999</v>
      </c>
      <c r="AA74" s="524">
        <v>34801.760999999999</v>
      </c>
      <c r="AB74" s="524">
        <v>36684.754000000001</v>
      </c>
      <c r="AC74" s="524">
        <v>37105.506999999998</v>
      </c>
      <c r="AD74" s="525"/>
      <c r="AE74" s="525"/>
      <c r="AG74" s="284">
        <f t="shared" si="59"/>
        <v>0.31702058657026644</v>
      </c>
      <c r="AH74" s="284">
        <f t="shared" si="59"/>
        <v>0.28116883538411946</v>
      </c>
      <c r="AI74" s="284">
        <f t="shared" si="59"/>
        <v>0.30335019741432845</v>
      </c>
      <c r="AJ74" s="284">
        <f t="shared" si="59"/>
        <v>0.33115640356877513</v>
      </c>
    </row>
    <row r="75" spans="1:36">
      <c r="A75" t="s">
        <v>417</v>
      </c>
      <c r="F75" s="523">
        <v>42464.845999999998</v>
      </c>
      <c r="G75" s="523">
        <v>44263.582999999999</v>
      </c>
      <c r="H75" s="523">
        <v>44021.516000000003</v>
      </c>
      <c r="I75" s="523">
        <v>48216.720999999998</v>
      </c>
      <c r="J75" s="523">
        <v>48309.338000000003</v>
      </c>
      <c r="K75" s="523">
        <v>52458.648000000001</v>
      </c>
      <c r="L75" s="523">
        <v>51416.686999999998</v>
      </c>
      <c r="M75" s="523">
        <v>50813.917999999998</v>
      </c>
      <c r="N75" s="523">
        <v>53841.440999999999</v>
      </c>
      <c r="O75" s="523">
        <v>54223.599000000002</v>
      </c>
      <c r="P75" s="523">
        <v>55471.722999999998</v>
      </c>
      <c r="Q75" s="523">
        <v>51201.071000000004</v>
      </c>
      <c r="R75" s="523">
        <v>53261.606</v>
      </c>
      <c r="S75" s="523">
        <v>52998.815000000002</v>
      </c>
      <c r="T75" s="523">
        <v>47099.892999999996</v>
      </c>
      <c r="U75" s="523">
        <v>50880.423999999999</v>
      </c>
      <c r="V75" s="523">
        <v>50651.154000000002</v>
      </c>
      <c r="W75" s="523">
        <v>54160.057000000001</v>
      </c>
      <c r="X75" s="523">
        <v>54053.599000000002</v>
      </c>
      <c r="Y75" s="523">
        <v>52329.786</v>
      </c>
      <c r="Z75" s="523">
        <v>50219.586000000003</v>
      </c>
      <c r="AA75" s="523">
        <v>53483.947999999997</v>
      </c>
      <c r="AB75" s="523">
        <v>49466.368999999999</v>
      </c>
      <c r="AC75" s="523">
        <v>47341.665000000001</v>
      </c>
      <c r="AD75" s="525"/>
      <c r="AE75" s="525"/>
      <c r="AG75" s="284">
        <f t="shared" si="59"/>
        <v>0.46260634132722367</v>
      </c>
      <c r="AH75" s="284">
        <f t="shared" si="59"/>
        <v>0.48729843064644518</v>
      </c>
      <c r="AI75" s="284">
        <f t="shared" si="59"/>
        <v>0.46619382807374826</v>
      </c>
      <c r="AJ75" s="284">
        <f t="shared" si="59"/>
        <v>0.44653713244597321</v>
      </c>
    </row>
    <row r="76" spans="1:36">
      <c r="U76" s="645">
        <f t="shared" ref="U76:AA76" si="60">SUM(U73:U75)</f>
        <v>112108.17</v>
      </c>
      <c r="V76" s="645">
        <f t="shared" si="60"/>
        <v>111554.60399999999</v>
      </c>
      <c r="W76" s="645">
        <f t="shared" si="60"/>
        <v>113611.21400000001</v>
      </c>
      <c r="X76" s="645">
        <f t="shared" si="60"/>
        <v>114296.93700000001</v>
      </c>
      <c r="Y76" s="645">
        <f t="shared" si="60"/>
        <v>113119.47399999999</v>
      </c>
      <c r="Z76" s="645">
        <f t="shared" si="60"/>
        <v>103057.147</v>
      </c>
      <c r="AA76" s="645">
        <f t="shared" si="60"/>
        <v>114724.70199999999</v>
      </c>
      <c r="AB76" s="645">
        <f>SUM(AB73:AB75)</f>
        <v>110777.728</v>
      </c>
      <c r="AC76" s="645">
        <f>SUM(AC73:AC75)</f>
        <v>107949.484</v>
      </c>
      <c r="AD76" s="650"/>
      <c r="AE76" s="650"/>
    </row>
    <row r="77" spans="1:36">
      <c r="A77" t="s">
        <v>421</v>
      </c>
    </row>
    <row r="78" spans="1:36">
      <c r="A78" t="s">
        <v>122</v>
      </c>
      <c r="F78" s="56">
        <f>F68/F73</f>
        <v>0.44233037707652617</v>
      </c>
      <c r="G78" s="56">
        <f t="shared" ref="G78:X80" si="61">G68/G73</f>
        <v>0.45778920126722444</v>
      </c>
      <c r="H78" s="56">
        <f t="shared" si="61"/>
        <v>0.45296867931729728</v>
      </c>
      <c r="I78" s="56">
        <f t="shared" si="61"/>
        <v>0.44377023691885803</v>
      </c>
      <c r="J78" s="56">
        <f t="shared" si="61"/>
        <v>0.38226893750076812</v>
      </c>
      <c r="K78" s="56">
        <f t="shared" si="61"/>
        <v>0.3725148456038655</v>
      </c>
      <c r="L78" s="56">
        <f t="shared" si="61"/>
        <v>0.3678013440301155</v>
      </c>
      <c r="M78" s="56">
        <f t="shared" si="61"/>
        <v>0.35014584078067817</v>
      </c>
      <c r="N78" s="56">
        <f t="shared" si="61"/>
        <v>0.32730454834216405</v>
      </c>
      <c r="O78" s="56">
        <f t="shared" si="61"/>
        <v>0.3466218669936949</v>
      </c>
      <c r="P78" s="56">
        <f t="shared" si="61"/>
        <v>0.35672957428019803</v>
      </c>
      <c r="Q78" s="56">
        <f t="shared" si="61"/>
        <v>0.33547928052109693</v>
      </c>
      <c r="R78" s="56">
        <f t="shared" si="61"/>
        <v>0.33556474552542487</v>
      </c>
      <c r="S78" s="56">
        <f t="shared" si="61"/>
        <v>0.34437016742443588</v>
      </c>
      <c r="T78" s="56">
        <f t="shared" si="61"/>
        <v>0.34546447453493129</v>
      </c>
      <c r="U78" s="56">
        <f t="shared" si="61"/>
        <v>0.33288360227336561</v>
      </c>
      <c r="V78" s="56">
        <f t="shared" si="61"/>
        <v>0.33329136266329851</v>
      </c>
      <c r="W78" s="56">
        <f t="shared" si="61"/>
        <v>0.35588065979481703</v>
      </c>
      <c r="X78" s="56">
        <f t="shared" si="61"/>
        <v>0.35068006808668262</v>
      </c>
      <c r="Y78" s="56">
        <f t="shared" ref="Y78:Z80" si="62">Y68/Y73</f>
        <v>0.34260311677171246</v>
      </c>
      <c r="Z78" s="56">
        <f t="shared" si="62"/>
        <v>0.33868254120524105</v>
      </c>
      <c r="AA78" s="56">
        <f t="shared" ref="AA78:AB80" si="63">AA68/AA73</f>
        <v>0.44121793897369693</v>
      </c>
      <c r="AB78" s="56">
        <f t="shared" si="63"/>
        <v>0.41263324766040627</v>
      </c>
      <c r="AC78" s="56">
        <f t="shared" ref="AC78" si="64">AC68/AC73</f>
        <v>0.41180603848676672</v>
      </c>
    </row>
    <row r="79" spans="1:36">
      <c r="A79" t="s">
        <v>374</v>
      </c>
      <c r="F79" s="56">
        <f t="shared" ref="F79:U79" si="65">F69/F74</f>
        <v>8.2329992397707601E-3</v>
      </c>
      <c r="G79" s="56">
        <f t="shared" si="65"/>
        <v>9.1111126417400216E-3</v>
      </c>
      <c r="H79" s="56">
        <f t="shared" si="65"/>
        <v>8.8129749665885673E-3</v>
      </c>
      <c r="I79" s="56">
        <f t="shared" si="65"/>
        <v>8.8000786642379661E-3</v>
      </c>
      <c r="J79" s="56">
        <f t="shared" si="65"/>
        <v>8.4043871880087901E-3</v>
      </c>
      <c r="K79" s="56">
        <f t="shared" si="65"/>
        <v>9.0713689840091118E-3</v>
      </c>
      <c r="L79" s="56">
        <f t="shared" si="65"/>
        <v>1.0320685139715175E-2</v>
      </c>
      <c r="M79" s="56">
        <f t="shared" si="65"/>
        <v>1.1439261644520827E-2</v>
      </c>
      <c r="N79" s="56">
        <f t="shared" si="65"/>
        <v>1.3500490782894094E-2</v>
      </c>
      <c r="O79" s="56">
        <f t="shared" si="65"/>
        <v>1.536097784276004E-2</v>
      </c>
      <c r="P79" s="56">
        <f t="shared" si="65"/>
        <v>1.8028491619416418E-2</v>
      </c>
      <c r="Q79" s="56">
        <f t="shared" si="65"/>
        <v>2.2099083697731031E-2</v>
      </c>
      <c r="R79" s="56">
        <f t="shared" si="65"/>
        <v>2.4368661643071256E-2</v>
      </c>
      <c r="S79" s="56">
        <f t="shared" si="65"/>
        <v>2.8875441748966259E-2</v>
      </c>
      <c r="T79" s="56">
        <f t="shared" si="65"/>
        <v>2.8967716609727932E-2</v>
      </c>
      <c r="U79" s="56">
        <f t="shared" si="65"/>
        <v>2.9895359848667081E-2</v>
      </c>
      <c r="V79" s="56">
        <f t="shared" si="61"/>
        <v>3.0873472172626395E-2</v>
      </c>
      <c r="W79" s="56">
        <f t="shared" si="61"/>
        <v>3.0821040550773501E-2</v>
      </c>
      <c r="X79" s="56">
        <f t="shared" si="61"/>
        <v>3.0723154950757579E-2</v>
      </c>
      <c r="Y79" s="56">
        <f t="shared" si="62"/>
        <v>3.199304362413731E-2</v>
      </c>
      <c r="Z79" s="56">
        <f t="shared" si="62"/>
        <v>3.3377716489710371E-2</v>
      </c>
      <c r="AA79" s="56">
        <f t="shared" si="63"/>
        <v>3.6702740415923203E-2</v>
      </c>
      <c r="AB79" s="56">
        <f t="shared" si="63"/>
        <v>2.8588988221101331E-2</v>
      </c>
      <c r="AC79" s="56">
        <f t="shared" ref="AC79" si="66">AC69/AC74</f>
        <v>2.6352988520005942E-2</v>
      </c>
    </row>
    <row r="80" spans="1:36">
      <c r="A80" t="s">
        <v>417</v>
      </c>
      <c r="F80" s="56">
        <f>F70/F75</f>
        <v>0.48650629746779256</v>
      </c>
      <c r="G80" s="56">
        <f t="shared" si="61"/>
        <v>0.49089866945475247</v>
      </c>
      <c r="H80" s="56">
        <f t="shared" si="61"/>
        <v>0.47451196364977527</v>
      </c>
      <c r="I80" s="56">
        <f t="shared" si="61"/>
        <v>0.49019594260671523</v>
      </c>
      <c r="J80" s="56">
        <f t="shared" si="61"/>
        <v>0.50261365618382103</v>
      </c>
      <c r="K80" s="56">
        <f t="shared" si="61"/>
        <v>0.50228072976642479</v>
      </c>
      <c r="L80" s="56">
        <f t="shared" si="61"/>
        <v>0.48093479846338605</v>
      </c>
      <c r="M80" s="56">
        <f t="shared" si="61"/>
        <v>0.45596499762132098</v>
      </c>
      <c r="N80" s="56">
        <f t="shared" si="61"/>
        <v>0.46014622825566653</v>
      </c>
      <c r="O80" s="56">
        <f t="shared" si="61"/>
        <v>0.47161489594226302</v>
      </c>
      <c r="P80" s="56">
        <f t="shared" si="61"/>
        <v>0.49491298476522894</v>
      </c>
      <c r="Q80" s="56">
        <f t="shared" si="61"/>
        <v>0.49558166468822495</v>
      </c>
      <c r="R80" s="56">
        <f t="shared" si="61"/>
        <v>0.47917409775439362</v>
      </c>
      <c r="S80" s="56">
        <f t="shared" si="61"/>
        <v>0.48039491071639995</v>
      </c>
      <c r="T80" s="56">
        <f t="shared" si="61"/>
        <v>0.45189395653191827</v>
      </c>
      <c r="U80" s="56">
        <f t="shared" si="61"/>
        <v>0.46428720798395867</v>
      </c>
      <c r="V80" s="56">
        <f t="shared" si="61"/>
        <v>0.46927594186699079</v>
      </c>
      <c r="W80" s="56">
        <f t="shared" si="61"/>
        <v>0.44288647997545499</v>
      </c>
      <c r="X80" s="56">
        <f t="shared" si="61"/>
        <v>0.44190089914271941</v>
      </c>
      <c r="Y80" s="56">
        <f t="shared" si="62"/>
        <v>0.44629838539756306</v>
      </c>
      <c r="Z80" s="56">
        <f>Z70/Z75</f>
        <v>0.45318432135223097</v>
      </c>
      <c r="AA80" s="56">
        <f t="shared" si="63"/>
        <v>0.44204715403582401</v>
      </c>
      <c r="AB80" s="56">
        <f t="shared" si="63"/>
        <v>0.41162637184872009</v>
      </c>
      <c r="AC80" s="56">
        <f t="shared" ref="AC80" si="67">AC70/AC75</f>
        <v>0.39737605341932947</v>
      </c>
    </row>
    <row r="83" spans="1:32">
      <c r="A83" t="s">
        <v>420</v>
      </c>
      <c r="F83" s="68">
        <f t="shared" ref="F83:X83" si="68">F67</f>
        <v>2000</v>
      </c>
      <c r="G83" s="68">
        <f t="shared" si="68"/>
        <v>2001</v>
      </c>
      <c r="H83" s="68">
        <f t="shared" si="68"/>
        <v>2002</v>
      </c>
      <c r="I83" s="68">
        <f t="shared" si="68"/>
        <v>2003</v>
      </c>
      <c r="J83" s="68">
        <f t="shared" si="68"/>
        <v>2004</v>
      </c>
      <c r="K83" s="68">
        <f t="shared" si="68"/>
        <v>2005</v>
      </c>
      <c r="L83" s="68">
        <f t="shared" si="68"/>
        <v>2006</v>
      </c>
      <c r="M83" s="68">
        <f t="shared" si="68"/>
        <v>2007</v>
      </c>
      <c r="N83" s="68">
        <f t="shared" si="68"/>
        <v>2008</v>
      </c>
      <c r="O83" s="68">
        <f t="shared" si="68"/>
        <v>2009</v>
      </c>
      <c r="P83" s="68">
        <f t="shared" si="68"/>
        <v>2010</v>
      </c>
      <c r="Q83" s="68">
        <f t="shared" si="68"/>
        <v>2011</v>
      </c>
      <c r="R83" s="68">
        <f t="shared" si="68"/>
        <v>2012</v>
      </c>
      <c r="S83" s="68">
        <f t="shared" si="68"/>
        <v>2013</v>
      </c>
      <c r="T83" s="68">
        <f t="shared" si="68"/>
        <v>2014</v>
      </c>
      <c r="U83" s="68">
        <f t="shared" si="68"/>
        <v>2015</v>
      </c>
      <c r="V83" s="68">
        <f t="shared" si="68"/>
        <v>2016</v>
      </c>
      <c r="W83" s="68">
        <f t="shared" si="68"/>
        <v>2017</v>
      </c>
      <c r="X83" s="68">
        <f t="shared" si="68"/>
        <v>2018</v>
      </c>
      <c r="Y83" s="68">
        <f>Y67</f>
        <v>2019</v>
      </c>
      <c r="Z83" s="68">
        <f>Z67</f>
        <v>2020</v>
      </c>
      <c r="AA83" s="68">
        <f>AA67</f>
        <v>2021</v>
      </c>
      <c r="AB83" s="68">
        <f>AA83+1</f>
        <v>2022</v>
      </c>
      <c r="AC83" s="68">
        <f>AB83+1</f>
        <v>2023</v>
      </c>
      <c r="AD83" s="68"/>
      <c r="AE83" s="68"/>
    </row>
    <row r="84" spans="1:32">
      <c r="A84" t="s">
        <v>122</v>
      </c>
      <c r="F84" s="56">
        <f t="shared" ref="F84:X84" si="69">(F6*1000)/(F73*11.63)</f>
        <v>0.33902163188869106</v>
      </c>
      <c r="G84" s="56">
        <f t="shared" si="69"/>
        <v>0.35686150510937087</v>
      </c>
      <c r="H84" s="56">
        <f t="shared" si="69"/>
        <v>0.3552621449436264</v>
      </c>
      <c r="I84" s="56">
        <f t="shared" si="69"/>
        <v>0.34352965496603027</v>
      </c>
      <c r="J84" s="56">
        <f t="shared" si="69"/>
        <v>0.35108668855918473</v>
      </c>
      <c r="K84" s="56">
        <f t="shared" si="69"/>
        <v>0.35521594340105755</v>
      </c>
      <c r="L84" s="56">
        <f t="shared" si="69"/>
        <v>0.37146747695322951</v>
      </c>
      <c r="M84" s="56">
        <f t="shared" si="69"/>
        <v>0.37308923411341316</v>
      </c>
      <c r="N84" s="56">
        <f t="shared" si="69"/>
        <v>0.37694258771607431</v>
      </c>
      <c r="O84" s="56">
        <f t="shared" si="69"/>
        <v>0.39300710755603085</v>
      </c>
      <c r="P84" s="56">
        <f t="shared" si="69"/>
        <v>0.41026203133574629</v>
      </c>
      <c r="Q84" s="56">
        <f t="shared" si="69"/>
        <v>0.43399891169484872</v>
      </c>
      <c r="R84" s="56">
        <f t="shared" si="69"/>
        <v>0.41734299974002587</v>
      </c>
      <c r="S84" s="56">
        <f t="shared" si="69"/>
        <v>0.42348864276653947</v>
      </c>
      <c r="T84" s="56">
        <f t="shared" si="69"/>
        <v>0.42578510740742836</v>
      </c>
      <c r="U84" s="56">
        <f t="shared" si="69"/>
        <v>0.42333346044492282</v>
      </c>
      <c r="V84" s="56">
        <f t="shared" si="69"/>
        <v>0.42064609233713274</v>
      </c>
      <c r="W84" s="56">
        <f t="shared" si="69"/>
        <v>0.433012979023852</v>
      </c>
      <c r="X84" s="56">
        <f t="shared" si="69"/>
        <v>0.44077438930942114</v>
      </c>
      <c r="Y84" s="56">
        <f>(Y6*1000)/(Y73*11.63)</f>
        <v>0.44474596283819751</v>
      </c>
      <c r="Z84" s="56">
        <f>(Z6*1000)/(Z73*11.63)</f>
        <v>0.45194741779122405</v>
      </c>
      <c r="AA84" s="56">
        <f>(AA6*1000)/(AA73*11.63)</f>
        <v>0.44147172805609503</v>
      </c>
      <c r="AB84" s="56">
        <f>(AB6*1000)/(AB73*11.63)</f>
        <v>0.45394460013531324</v>
      </c>
      <c r="AC84" s="56">
        <f>(AC6*1000)/(AC73*11.63)</f>
        <v>0.4554378951385093</v>
      </c>
      <c r="AD84" s="581">
        <f t="shared" ref="AD84:AE86" si="70">AVERAGE(AB84:AC84)</f>
        <v>0.45469124763691127</v>
      </c>
      <c r="AE84" s="581">
        <f t="shared" si="70"/>
        <v>0.45506457138771028</v>
      </c>
      <c r="AF84" s="282"/>
    </row>
    <row r="85" spans="1:32">
      <c r="A85" t="s">
        <v>374</v>
      </c>
      <c r="F85" s="56">
        <f t="shared" ref="F85:X85" si="71">(F8*1000)/(F74*11.63)</f>
        <v>1.8443401470815773E-2</v>
      </c>
      <c r="G85" s="56">
        <f t="shared" si="71"/>
        <v>1.8251426799420836E-2</v>
      </c>
      <c r="H85" s="56">
        <f t="shared" si="71"/>
        <v>1.8767263743757406E-2</v>
      </c>
      <c r="I85" s="56">
        <f t="shared" si="71"/>
        <v>1.9648883951788286E-2</v>
      </c>
      <c r="J85" s="56">
        <f t="shared" si="71"/>
        <v>1.9514923720355105E-2</v>
      </c>
      <c r="K85" s="56">
        <f t="shared" si="71"/>
        <v>2.0382818888678943E-2</v>
      </c>
      <c r="L85" s="56">
        <f t="shared" si="71"/>
        <v>2.0814089563425411E-2</v>
      </c>
      <c r="M85" s="56">
        <f t="shared" si="71"/>
        <v>2.1140936586202207E-2</v>
      </c>
      <c r="N85" s="56">
        <f t="shared" si="71"/>
        <v>2.2894968356463877E-2</v>
      </c>
      <c r="O85" s="56">
        <f t="shared" si="71"/>
        <v>2.3148653142931987E-2</v>
      </c>
      <c r="P85" s="56">
        <f t="shared" si="71"/>
        <v>2.377989609946685E-2</v>
      </c>
      <c r="Q85" s="56">
        <f t="shared" si="71"/>
        <v>2.3897359823848559E-2</v>
      </c>
      <c r="R85" s="526">
        <f t="shared" si="71"/>
        <v>2.5450885872764711E-2</v>
      </c>
      <c r="S85" s="526">
        <f t="shared" si="71"/>
        <v>2.5949300737859046E-2</v>
      </c>
      <c r="T85" s="526">
        <f t="shared" si="71"/>
        <v>2.430678034305335E-2</v>
      </c>
      <c r="U85" s="526">
        <f t="shared" si="71"/>
        <v>2.5661296206901048E-2</v>
      </c>
      <c r="V85" s="526">
        <f t="shared" si="71"/>
        <v>2.6799263114055182E-2</v>
      </c>
      <c r="W85" s="526">
        <f t="shared" si="71"/>
        <v>2.834878082887838E-2</v>
      </c>
      <c r="X85" s="526">
        <f t="shared" si="71"/>
        <v>2.7888583008940464E-2</v>
      </c>
      <c r="Y85" s="526">
        <f>(Y8*1000)/(Y74*11.63)</f>
        <v>2.8113311096402711E-2</v>
      </c>
      <c r="Z85" s="526">
        <f>(Z8*1000)/(Z74*11.63)</f>
        <v>3.022200191678158E-2</v>
      </c>
      <c r="AA85" s="526">
        <f>(AA8*1000)/(AA74*11.63)</f>
        <v>2.7014821767016136E-2</v>
      </c>
      <c r="AB85" s="526">
        <f>(AB8*1000)/(AB74*11.63)</f>
        <v>2.7202652467820627E-2</v>
      </c>
      <c r="AC85" s="526">
        <f>(AC8*1000)/(AC74*11.63)</f>
        <v>2.7259768536357584E-2</v>
      </c>
      <c r="AD85" s="581">
        <f t="shared" si="70"/>
        <v>2.7231210502089105E-2</v>
      </c>
      <c r="AE85" s="581">
        <f t="shared" si="70"/>
        <v>2.7245489519223343E-2</v>
      </c>
    </row>
    <row r="86" spans="1:32">
      <c r="A86" t="s">
        <v>417</v>
      </c>
      <c r="F86" s="56">
        <f t="shared" ref="F86:W86" si="72">((F7-F8+F9+F5)*1000)/(F75*11.63)</f>
        <v>0.24827232595413656</v>
      </c>
      <c r="G86" s="56">
        <f t="shared" si="72"/>
        <v>0.24466755040511615</v>
      </c>
      <c r="H86" s="56">
        <f t="shared" si="72"/>
        <v>0.25524667659745287</v>
      </c>
      <c r="I86" s="56">
        <f t="shared" si="72"/>
        <v>0.24538908951714439</v>
      </c>
      <c r="J86" s="56">
        <f t="shared" si="72"/>
        <v>0.25226471094649261</v>
      </c>
      <c r="K86" s="56">
        <f t="shared" si="72"/>
        <v>0.239589115339154</v>
      </c>
      <c r="L86" s="56">
        <f t="shared" si="72"/>
        <v>0.25279155409685611</v>
      </c>
      <c r="M86" s="56">
        <f t="shared" si="72"/>
        <v>0.25846535087717187</v>
      </c>
      <c r="N86" s="56">
        <f t="shared" si="72"/>
        <v>0.25045915255679441</v>
      </c>
      <c r="O86" s="56">
        <f t="shared" si="72"/>
        <v>0.25193331170149141</v>
      </c>
      <c r="P86" s="56">
        <f t="shared" si="72"/>
        <v>0.24921778584023965</v>
      </c>
      <c r="Q86" s="56">
        <f t="shared" si="72"/>
        <v>0.27378830638498647</v>
      </c>
      <c r="R86" s="56">
        <f t="shared" si="72"/>
        <v>0.26743770458034694</v>
      </c>
      <c r="S86" s="56">
        <f t="shared" si="72"/>
        <v>0.26224649031152114</v>
      </c>
      <c r="T86" s="56">
        <f t="shared" si="72"/>
        <v>0.28865380222040515</v>
      </c>
      <c r="U86" s="56">
        <f t="shared" si="72"/>
        <v>0.27708501256738299</v>
      </c>
      <c r="V86" s="56">
        <f t="shared" si="72"/>
        <v>0.27434243577207845</v>
      </c>
      <c r="W86" s="56">
        <f t="shared" si="72"/>
        <v>0.26191118442800082</v>
      </c>
      <c r="X86" s="56">
        <f t="shared" ref="X86:AC86" si="73">((X7-X8+X9+X5)*1000)/(X75*11.63)</f>
        <v>0.26321903878136099</v>
      </c>
      <c r="Y86" s="56">
        <f t="shared" si="73"/>
        <v>0.26477146728328049</v>
      </c>
      <c r="Z86" s="56">
        <f t="shared" si="73"/>
        <v>0.2537646425051801</v>
      </c>
      <c r="AA86" s="56">
        <f t="shared" si="73"/>
        <v>0.2479137450164963</v>
      </c>
      <c r="AB86" s="56">
        <f t="shared" si="73"/>
        <v>0.26809678956929911</v>
      </c>
      <c r="AC86" s="56">
        <f t="shared" si="73"/>
        <v>0.2744774996838153</v>
      </c>
      <c r="AD86" s="581">
        <f t="shared" si="70"/>
        <v>0.27128714462655723</v>
      </c>
      <c r="AE86" s="581">
        <f t="shared" si="70"/>
        <v>0.27288232215518626</v>
      </c>
    </row>
    <row r="89" spans="1:32">
      <c r="AF89" s="227"/>
    </row>
    <row r="90" spans="1:32">
      <c r="AF90" s="227"/>
    </row>
    <row r="91" spans="1:32">
      <c r="AF91" s="227"/>
    </row>
    <row r="101" spans="35:46">
      <c r="AI101" s="177">
        <v>4.9066000000000001</v>
      </c>
      <c r="AJ101" s="177">
        <v>5.3643999999999998</v>
      </c>
      <c r="AK101" s="177">
        <v>5.6103000000000005</v>
      </c>
      <c r="AL101" s="177">
        <v>5.907</v>
      </c>
      <c r="AM101" s="177">
        <v>5.9236000000000004</v>
      </c>
      <c r="AN101" s="177">
        <v>5.6771000000000003</v>
      </c>
      <c r="AO101" s="177">
        <v>5.3721000000000005</v>
      </c>
      <c r="AP101" s="177">
        <v>5.6898999999999997</v>
      </c>
      <c r="AQ101" s="177">
        <v>5.5674999999999999</v>
      </c>
      <c r="AR101" s="177">
        <v>5.9904000000000002</v>
      </c>
      <c r="AS101" s="177">
        <v>5.8433000000000002</v>
      </c>
      <c r="AT101" s="177">
        <v>6.0523999999999996</v>
      </c>
    </row>
    <row r="102" spans="35:46">
      <c r="AI102" s="177">
        <v>148.19239999999999</v>
      </c>
      <c r="AJ102" s="177">
        <v>153.7268</v>
      </c>
      <c r="AK102" s="177">
        <v>138.43929999999997</v>
      </c>
      <c r="AL102" s="177">
        <v>140.03960000000001</v>
      </c>
      <c r="AM102" s="177">
        <v>130.80089999999998</v>
      </c>
      <c r="AN102" s="177">
        <v>124.8708</v>
      </c>
      <c r="AO102" s="177">
        <v>122.505</v>
      </c>
      <c r="AP102" s="177">
        <v>122.3623</v>
      </c>
      <c r="AQ102" s="177">
        <v>122.738</v>
      </c>
      <c r="AR102" s="177">
        <v>125.52460000000001</v>
      </c>
      <c r="AS102" s="177">
        <v>126.432</v>
      </c>
      <c r="AT102" s="177">
        <v>128.93998999999999</v>
      </c>
    </row>
    <row r="103" spans="35:46">
      <c r="AI103" s="177">
        <v>65.108800000000002</v>
      </c>
      <c r="AJ103" s="177">
        <v>83.793000000000006</v>
      </c>
      <c r="AK103" s="177">
        <v>96.284499999999994</v>
      </c>
      <c r="AL103" s="177">
        <v>97.705100000000002</v>
      </c>
      <c r="AM103" s="177">
        <v>101.0384</v>
      </c>
      <c r="AN103" s="177">
        <v>99.756500000000003</v>
      </c>
      <c r="AO103" s="177">
        <v>98.951399999999992</v>
      </c>
      <c r="AP103" s="177">
        <v>102.9405</v>
      </c>
      <c r="AQ103" s="177">
        <v>102.8985</v>
      </c>
      <c r="AR103" s="177">
        <v>104.87479999999999</v>
      </c>
      <c r="AS103" s="177">
        <v>106.02979999999999</v>
      </c>
      <c r="AT103" s="177">
        <v>101.2234</v>
      </c>
    </row>
    <row r="104" spans="35:46">
      <c r="AI104" s="177">
        <v>8.5137999999999998</v>
      </c>
      <c r="AJ104" s="177">
        <v>9.9179999999999993</v>
      </c>
      <c r="AK104" s="177">
        <v>10.665899999999999</v>
      </c>
      <c r="AL104" s="177">
        <v>10.7202</v>
      </c>
      <c r="AM104" s="177">
        <v>10.759</v>
      </c>
      <c r="AN104" s="177">
        <v>10.774299999999998</v>
      </c>
      <c r="AO104" s="177">
        <v>10.4621</v>
      </c>
      <c r="AP104" s="177">
        <v>10.855600000000001</v>
      </c>
      <c r="AQ104" s="177">
        <v>11.1625</v>
      </c>
      <c r="AR104" s="177">
        <v>11.382899999999999</v>
      </c>
      <c r="AS104" s="177">
        <v>11.54</v>
      </c>
      <c r="AT104" s="177">
        <v>11.725100000000001</v>
      </c>
    </row>
    <row r="105" spans="35:46">
      <c r="AI105" s="177">
        <v>61.111699999999999</v>
      </c>
      <c r="AJ105" s="177">
        <v>66.932500000000005</v>
      </c>
      <c r="AK105" s="177">
        <v>69.5505</v>
      </c>
      <c r="AL105" s="177">
        <v>70.1404</v>
      </c>
      <c r="AM105" s="177">
        <v>69.456600000000009</v>
      </c>
      <c r="AN105" s="177">
        <v>66.983199999999997</v>
      </c>
      <c r="AO105" s="177">
        <v>64.254999999999995</v>
      </c>
      <c r="AP105" s="177">
        <v>66.187300000000008</v>
      </c>
      <c r="AQ105" s="177">
        <v>64.304199999999994</v>
      </c>
      <c r="AR105" s="177">
        <v>65.490700000000004</v>
      </c>
      <c r="AS105" s="177">
        <v>65.137799999999999</v>
      </c>
      <c r="AT105" s="177">
        <v>65.587999999999994</v>
      </c>
    </row>
    <row r="106" spans="35:46">
      <c r="AI106" s="177">
        <v>279.31950000000001</v>
      </c>
      <c r="AJ106" s="177">
        <v>309.81669999999997</v>
      </c>
      <c r="AK106" s="177">
        <v>309.88459999999998</v>
      </c>
      <c r="AL106" s="177">
        <v>313.7921</v>
      </c>
      <c r="AM106" s="177">
        <v>307.21949999999998</v>
      </c>
      <c r="AN106" s="177">
        <v>297.2876</v>
      </c>
      <c r="AO106" s="177">
        <v>291.08349999999996</v>
      </c>
      <c r="AP106" s="177">
        <v>297.18</v>
      </c>
      <c r="AQ106" s="177">
        <v>295.50819999999999</v>
      </c>
      <c r="AR106" s="177">
        <v>301.88049999999998</v>
      </c>
      <c r="AS106" s="177">
        <v>303.44290000000001</v>
      </c>
      <c r="AT106" s="177">
        <v>301.80378999999999</v>
      </c>
    </row>
    <row r="114" spans="1:35">
      <c r="B114" s="216"/>
    </row>
    <row r="115" spans="1:35">
      <c r="B115" s="216"/>
    </row>
    <row r="116" spans="1:35">
      <c r="A116" s="216" t="s">
        <v>427</v>
      </c>
    </row>
    <row r="117" spans="1:35">
      <c r="A117" s="216" t="s">
        <v>426</v>
      </c>
    </row>
    <row r="118" spans="1:35">
      <c r="A118" s="481" t="s">
        <v>424</v>
      </c>
      <c r="F118" s="291">
        <v>10.449</v>
      </c>
      <c r="G118" s="291">
        <v>10.795999999999999</v>
      </c>
      <c r="H118" s="291">
        <v>10.497999999999999</v>
      </c>
      <c r="I118" s="291">
        <v>10.647</v>
      </c>
      <c r="J118" s="291">
        <v>9.9649999999999999</v>
      </c>
      <c r="K118" s="291">
        <v>10.35</v>
      </c>
      <c r="L118" s="291">
        <v>11.513</v>
      </c>
      <c r="M118" s="291">
        <v>11.407999999999999</v>
      </c>
      <c r="N118" s="291">
        <v>10.762</v>
      </c>
      <c r="O118" s="291">
        <v>9.8680000000000003</v>
      </c>
      <c r="P118" s="291">
        <v>11.496</v>
      </c>
      <c r="Q118" s="291">
        <v>10.486000000000001</v>
      </c>
      <c r="R118" s="291">
        <v>11.17</v>
      </c>
      <c r="S118" s="291">
        <v>12.278</v>
      </c>
      <c r="T118" s="291">
        <v>12.222</v>
      </c>
      <c r="U118" s="291">
        <v>12.627000000000001</v>
      </c>
      <c r="V118" s="291">
        <v>13.423999999999999</v>
      </c>
      <c r="W118" s="291">
        <v>14.776</v>
      </c>
      <c r="X118" s="291">
        <v>13.855</v>
      </c>
      <c r="Y118" s="291">
        <v>14.593999999999999</v>
      </c>
      <c r="Z118" s="291">
        <v>14.185</v>
      </c>
      <c r="AA118" s="291">
        <v>14.752000000000001</v>
      </c>
      <c r="AB118" s="611"/>
      <c r="AC118" s="611"/>
      <c r="AD118" s="611"/>
      <c r="AE118" s="611"/>
      <c r="AF118" s="56">
        <f>Z118/Y118-1</f>
        <v>-2.8025215842126805E-2</v>
      </c>
      <c r="AG118" s="56">
        <f>AA118/Z118-1</f>
        <v>3.9971801198449119E-2</v>
      </c>
    </row>
    <row r="119" spans="1:35">
      <c r="A119" s="481" t="s">
        <v>425</v>
      </c>
      <c r="F119" s="291">
        <v>95.411000000000001</v>
      </c>
      <c r="G119" s="291">
        <v>102.80200000000001</v>
      </c>
      <c r="H119" s="291">
        <v>103.151</v>
      </c>
      <c r="I119" s="291">
        <v>103.15</v>
      </c>
      <c r="J119" s="291">
        <v>106.07599999999999</v>
      </c>
      <c r="K119" s="291">
        <v>112.172</v>
      </c>
      <c r="L119" s="291">
        <v>120.26300000000001</v>
      </c>
      <c r="M119" s="291">
        <v>127.241</v>
      </c>
      <c r="N119" s="291">
        <v>135.364</v>
      </c>
      <c r="O119" s="291">
        <v>123.408</v>
      </c>
      <c r="P119" s="291">
        <v>121.874</v>
      </c>
      <c r="Q119" s="291">
        <v>126.748</v>
      </c>
      <c r="R119" s="291">
        <v>127.188</v>
      </c>
      <c r="S119" s="291">
        <v>124.375</v>
      </c>
      <c r="T119" s="291">
        <v>119.994</v>
      </c>
      <c r="U119" s="291">
        <v>121.76</v>
      </c>
      <c r="V119" s="291">
        <v>122.17100000000001</v>
      </c>
      <c r="W119" s="291">
        <v>128.55500000000001</v>
      </c>
      <c r="X119" s="291">
        <v>136.38800000000001</v>
      </c>
      <c r="Y119" s="291">
        <v>141.99600000000001</v>
      </c>
      <c r="Z119" s="291">
        <v>141.89699999999999</v>
      </c>
      <c r="AA119" s="291">
        <v>157.85900000000001</v>
      </c>
      <c r="AB119" s="611"/>
      <c r="AC119" s="611"/>
      <c r="AD119" s="611"/>
      <c r="AE119" s="611"/>
      <c r="AF119" s="56">
        <f t="shared" ref="AF119:AG121" si="74">Z119/Y119-1</f>
        <v>-6.9720273810547351E-4</v>
      </c>
      <c r="AG119" s="56">
        <f t="shared" si="74"/>
        <v>0.11249004559645392</v>
      </c>
    </row>
    <row r="120" spans="1:35">
      <c r="A120" s="481" t="s">
        <v>372</v>
      </c>
      <c r="F120" s="291">
        <v>319.98</v>
      </c>
      <c r="G120" s="291">
        <v>337.69299999999998</v>
      </c>
      <c r="H120" s="291">
        <v>356.62200000000001</v>
      </c>
      <c r="I120" s="291">
        <v>367.33100000000002</v>
      </c>
      <c r="J120" s="291">
        <v>380.22500000000002</v>
      </c>
      <c r="K120" s="291">
        <v>393.49200000000002</v>
      </c>
      <c r="L120" s="291">
        <v>415.50299999999999</v>
      </c>
      <c r="M120" s="291">
        <v>442.57100000000003</v>
      </c>
      <c r="N120" s="291">
        <v>461.21499999999997</v>
      </c>
      <c r="O120" s="291">
        <v>455.75400000000002</v>
      </c>
      <c r="P120" s="291">
        <v>467.96800000000002</v>
      </c>
      <c r="Q120" s="291">
        <v>477.74599999999998</v>
      </c>
      <c r="R120" s="291">
        <v>481.17500000000001</v>
      </c>
      <c r="S120" s="291">
        <v>488.91399999999999</v>
      </c>
      <c r="T120" s="291">
        <v>505.78100000000001</v>
      </c>
      <c r="U120" s="291">
        <v>524.06299999999999</v>
      </c>
      <c r="V120" s="291">
        <v>539.85199999999998</v>
      </c>
      <c r="W120" s="291">
        <v>561.04</v>
      </c>
      <c r="X120" s="291">
        <v>586.32899999999995</v>
      </c>
      <c r="Y120" s="291">
        <v>617.62800000000004</v>
      </c>
      <c r="Z120" s="291">
        <v>600.39599999999996</v>
      </c>
      <c r="AA120" s="291">
        <v>653.40800000000002</v>
      </c>
      <c r="AB120" s="611"/>
      <c r="AC120" s="611"/>
      <c r="AD120" s="611"/>
      <c r="AE120" s="611"/>
      <c r="AF120" s="56">
        <f t="shared" si="74"/>
        <v>-2.7900289494647401E-2</v>
      </c>
      <c r="AG120" s="56">
        <f t="shared" si="74"/>
        <v>8.8295058594660913E-2</v>
      </c>
    </row>
    <row r="121" spans="1:35">
      <c r="A121" s="521" t="s">
        <v>50</v>
      </c>
      <c r="F121" s="536">
        <f>SUM(F118:F120)</f>
        <v>425.84000000000003</v>
      </c>
      <c r="G121" s="536">
        <f t="shared" ref="G121:AA121" si="75">SUM(G118:G120)</f>
        <v>451.291</v>
      </c>
      <c r="H121" s="536">
        <f t="shared" si="75"/>
        <v>470.27100000000002</v>
      </c>
      <c r="I121" s="536">
        <f t="shared" si="75"/>
        <v>481.12800000000004</v>
      </c>
      <c r="J121" s="536">
        <f t="shared" si="75"/>
        <v>496.26600000000002</v>
      </c>
      <c r="K121" s="536">
        <f t="shared" si="75"/>
        <v>516.01400000000001</v>
      </c>
      <c r="L121" s="536">
        <f t="shared" si="75"/>
        <v>547.279</v>
      </c>
      <c r="M121" s="536">
        <f t="shared" si="75"/>
        <v>581.22</v>
      </c>
      <c r="N121" s="536">
        <f t="shared" si="75"/>
        <v>607.34100000000001</v>
      </c>
      <c r="O121" s="536">
        <f t="shared" si="75"/>
        <v>589.03</v>
      </c>
      <c r="P121" s="536">
        <f t="shared" si="75"/>
        <v>601.33799999999997</v>
      </c>
      <c r="Q121" s="536">
        <f t="shared" si="75"/>
        <v>614.98</v>
      </c>
      <c r="R121" s="536">
        <f t="shared" si="75"/>
        <v>619.53300000000002</v>
      </c>
      <c r="S121" s="536">
        <f t="shared" si="75"/>
        <v>625.56700000000001</v>
      </c>
      <c r="T121" s="536">
        <f t="shared" si="75"/>
        <v>637.99700000000007</v>
      </c>
      <c r="U121" s="536">
        <f t="shared" si="75"/>
        <v>658.45</v>
      </c>
      <c r="V121" s="536">
        <f t="shared" si="75"/>
        <v>675.447</v>
      </c>
      <c r="W121" s="536">
        <f t="shared" si="75"/>
        <v>704.37099999999998</v>
      </c>
      <c r="X121" s="536">
        <f t="shared" si="75"/>
        <v>736.57199999999989</v>
      </c>
      <c r="Y121" s="536">
        <f t="shared" si="75"/>
        <v>774.21800000000007</v>
      </c>
      <c r="Z121" s="536">
        <f t="shared" si="75"/>
        <v>756.47799999999995</v>
      </c>
      <c r="AA121" s="536">
        <f t="shared" si="75"/>
        <v>826.01900000000001</v>
      </c>
      <c r="AB121" s="610"/>
      <c r="AC121" s="610"/>
      <c r="AD121" s="610"/>
      <c r="AE121" s="610"/>
      <c r="AF121" s="56">
        <f t="shared" si="74"/>
        <v>-2.2913442983759302E-2</v>
      </c>
      <c r="AG121" s="56">
        <f t="shared" si="74"/>
        <v>9.1927326373007601E-2</v>
      </c>
    </row>
    <row r="123" spans="1:35">
      <c r="A123" s="139" t="s">
        <v>428</v>
      </c>
    </row>
    <row r="124" spans="1:35">
      <c r="A124" s="481" t="s">
        <v>424</v>
      </c>
      <c r="F124" s="144">
        <f>F118/F5</f>
        <v>2.1295805649533279</v>
      </c>
      <c r="G124" s="144">
        <f t="shared" ref="G124:X124" si="76">G118/G5</f>
        <v>2.0911943594312943</v>
      </c>
      <c r="H124" s="144">
        <f t="shared" si="76"/>
        <v>2.1467424645208784</v>
      </c>
      <c r="I124" s="144">
        <f t="shared" si="76"/>
        <v>2.0624927356553409</v>
      </c>
      <c r="J124" s="144">
        <f t="shared" si="76"/>
        <v>1.9219642030550841</v>
      </c>
      <c r="K124" s="144">
        <f t="shared" si="76"/>
        <v>1.9293863246588621</v>
      </c>
      <c r="L124" s="144">
        <f t="shared" si="76"/>
        <v>2.0919414917779595</v>
      </c>
      <c r="M124" s="144">
        <f t="shared" si="76"/>
        <v>2.0158326265196491</v>
      </c>
      <c r="N124" s="144">
        <f t="shared" si="76"/>
        <v>1.8982273569097805</v>
      </c>
      <c r="O124" s="144">
        <f t="shared" si="76"/>
        <v>1.7465795854793891</v>
      </c>
      <c r="P124" s="144">
        <f t="shared" si="76"/>
        <v>2.049088284048981</v>
      </c>
      <c r="Q124" s="144">
        <f t="shared" si="76"/>
        <v>1.7751819874724903</v>
      </c>
      <c r="R124" s="144">
        <f t="shared" si="76"/>
        <v>1.8856776284691741</v>
      </c>
      <c r="S124" s="144">
        <f t="shared" si="76"/>
        <v>2.1627239259481073</v>
      </c>
      <c r="T124" s="144">
        <f t="shared" si="76"/>
        <v>2.2750879544312279</v>
      </c>
      <c r="U124" s="144">
        <f t="shared" si="76"/>
        <v>2.2191954164396566</v>
      </c>
      <c r="V124" s="144">
        <f t="shared" si="76"/>
        <v>2.4111360574764258</v>
      </c>
      <c r="W124" s="144">
        <f t="shared" si="76"/>
        <v>2.4666132478632479</v>
      </c>
      <c r="X124" s="144">
        <f t="shared" si="76"/>
        <v>2.3710916776479043</v>
      </c>
      <c r="Y124" s="144">
        <f t="shared" ref="Y124:AA126" si="77">Y118/Y5</f>
        <v>2.4112748661687928</v>
      </c>
      <c r="Z124" s="144">
        <f t="shared" si="77"/>
        <v>2.2478409000871564</v>
      </c>
      <c r="AA124" s="144">
        <f t="shared" si="77"/>
        <v>2.197265334087998</v>
      </c>
      <c r="AB124" s="560">
        <f>AVERAGE(Y124:AA124)</f>
        <v>2.2854603667813156</v>
      </c>
      <c r="AC124" s="651"/>
      <c r="AD124" s="651"/>
      <c r="AE124" s="651"/>
      <c r="AF124" s="144"/>
      <c r="AG124" s="144"/>
      <c r="AH124" s="399"/>
      <c r="AI124" s="399"/>
    </row>
    <row r="125" spans="1:35">
      <c r="A125" s="481" t="s">
        <v>425</v>
      </c>
      <c r="F125" s="144">
        <f>F119/F6</f>
        <v>0.64383193740029854</v>
      </c>
      <c r="G125" s="144">
        <f t="shared" ref="G125:X125" si="78">G119/G6</f>
        <v>0.68092789855696434</v>
      </c>
      <c r="H125" s="144">
        <f t="shared" si="78"/>
        <v>0.68170117655922347</v>
      </c>
      <c r="I125" s="144">
        <f t="shared" si="78"/>
        <v>0.67541508726048627</v>
      </c>
      <c r="J125" s="144">
        <f t="shared" si="78"/>
        <v>0.69260417367208316</v>
      </c>
      <c r="K125" s="144">
        <f t="shared" si="78"/>
        <v>0.72968408891618119</v>
      </c>
      <c r="L125" s="144">
        <f t="shared" si="78"/>
        <v>0.77017315335323722</v>
      </c>
      <c r="M125" s="144">
        <f t="shared" si="78"/>
        <v>0.81667194037648516</v>
      </c>
      <c r="N125" s="144">
        <f t="shared" si="78"/>
        <v>0.89427918708618681</v>
      </c>
      <c r="O125" s="144">
        <f t="shared" si="78"/>
        <v>0.94561242058788153</v>
      </c>
      <c r="P125" s="144">
        <f t="shared" si="78"/>
        <v>0.88034250389882074</v>
      </c>
      <c r="Q125" s="144">
        <f t="shared" si="78"/>
        <v>0.90508684686331575</v>
      </c>
      <c r="R125" s="144">
        <f t="shared" si="78"/>
        <v>0.97237863042226791</v>
      </c>
      <c r="S125" s="144">
        <f t="shared" si="78"/>
        <v>0.99602949608715563</v>
      </c>
      <c r="T125" s="144">
        <f t="shared" si="78"/>
        <v>0.97950287743357423</v>
      </c>
      <c r="U125" s="144">
        <f t="shared" si="78"/>
        <v>0.99507773227538221</v>
      </c>
      <c r="V125" s="144">
        <f t="shared" si="78"/>
        <v>0.99538040378692827</v>
      </c>
      <c r="W125" s="144">
        <f t="shared" si="78"/>
        <v>1.0241418813523404</v>
      </c>
      <c r="X125" s="144">
        <f t="shared" si="78"/>
        <v>1.0787458871171856</v>
      </c>
      <c r="Y125" s="144">
        <f t="shared" si="77"/>
        <v>1.1012564837332468</v>
      </c>
      <c r="Z125" s="144">
        <f t="shared" si="77"/>
        <v>1.1313971335738633</v>
      </c>
      <c r="AA125" s="144">
        <f t="shared" si="77"/>
        <v>1.1628985426106009</v>
      </c>
      <c r="AB125" s="560">
        <f>AVERAGE(Y125:AA125)</f>
        <v>1.1318507199725705</v>
      </c>
      <c r="AC125" s="651"/>
      <c r="AD125" s="651"/>
      <c r="AE125" s="651"/>
      <c r="AF125" s="144"/>
      <c r="AG125" s="144"/>
      <c r="AH125" s="399"/>
      <c r="AI125" s="399"/>
    </row>
    <row r="126" spans="1:35">
      <c r="A126" s="481" t="s">
        <v>372</v>
      </c>
      <c r="F126" s="144">
        <f t="shared" ref="F126:U126" si="79">F120/F7</f>
        <v>4.9145430418008011</v>
      </c>
      <c r="G126" s="144">
        <f t="shared" si="79"/>
        <v>4.9805243743980689</v>
      </c>
      <c r="H126" s="144">
        <f t="shared" si="79"/>
        <v>4.9670393341290886</v>
      </c>
      <c r="I126" s="144">
        <f t="shared" si="79"/>
        <v>4.7773759034044883</v>
      </c>
      <c r="J126" s="144">
        <f t="shared" si="79"/>
        <v>4.7792537212126094</v>
      </c>
      <c r="K126" s="144">
        <f t="shared" si="79"/>
        <v>4.6960008592603195</v>
      </c>
      <c r="L126" s="144">
        <f t="shared" si="79"/>
        <v>4.7068359076311364</v>
      </c>
      <c r="M126" s="144">
        <f t="shared" si="79"/>
        <v>4.9028287830195474</v>
      </c>
      <c r="N126" s="144">
        <f t="shared" si="79"/>
        <v>4.9268685064553548</v>
      </c>
      <c r="O126" s="144">
        <f t="shared" si="79"/>
        <v>4.8057624355590614</v>
      </c>
      <c r="P126" s="144">
        <f t="shared" si="79"/>
        <v>4.8602630745343234</v>
      </c>
      <c r="Q126" s="144">
        <f t="shared" si="79"/>
        <v>4.889673108159144</v>
      </c>
      <c r="R126" s="144">
        <f t="shared" si="79"/>
        <v>4.7622982945098107</v>
      </c>
      <c r="S126" s="144">
        <f t="shared" si="79"/>
        <v>4.9010741154711717</v>
      </c>
      <c r="T126" s="144">
        <f t="shared" si="79"/>
        <v>5.1114082266648078</v>
      </c>
      <c r="U126" s="144">
        <f t="shared" si="79"/>
        <v>5.0909311689762529</v>
      </c>
      <c r="V126" s="144">
        <f>V120/V7</f>
        <v>5.2464516003634651</v>
      </c>
      <c r="W126" s="144">
        <f>W120/W7</f>
        <v>5.3496168765041743</v>
      </c>
      <c r="X126" s="144">
        <f>X120/X7</f>
        <v>5.5298510418769062</v>
      </c>
      <c r="Y126" s="144">
        <f t="shared" si="77"/>
        <v>6.1016326264480352</v>
      </c>
      <c r="Z126" s="144">
        <f t="shared" si="77"/>
        <v>6.9915272000633468</v>
      </c>
      <c r="AA126" s="144">
        <f t="shared" si="77"/>
        <v>7.1508477711056324</v>
      </c>
      <c r="AB126" s="560">
        <f>AVERAGE(Y126:AA126)</f>
        <v>6.7480025325390045</v>
      </c>
      <c r="AC126" s="651"/>
      <c r="AD126" s="651"/>
      <c r="AE126" s="651"/>
      <c r="AF126" s="144"/>
      <c r="AG126" s="144"/>
      <c r="AH126" s="399"/>
      <c r="AI126" s="399"/>
    </row>
    <row r="127" spans="1:35">
      <c r="A127" s="481" t="s">
        <v>123</v>
      </c>
      <c r="F127" s="144">
        <f t="shared" ref="F127:X127" si="80">F121/F9</f>
        <v>6.9682237607528519</v>
      </c>
      <c r="G127" s="144">
        <f t="shared" si="80"/>
        <v>7.3317228023888283</v>
      </c>
      <c r="H127" s="144">
        <f t="shared" si="80"/>
        <v>7.4696462381031044</v>
      </c>
      <c r="I127" s="144">
        <f t="shared" si="80"/>
        <v>7.4001704201132652</v>
      </c>
      <c r="J127" s="144">
        <f t="shared" si="80"/>
        <v>7.4523142350004967</v>
      </c>
      <c r="K127" s="144">
        <f t="shared" si="80"/>
        <v>7.7094684943786644</v>
      </c>
      <c r="L127" s="144">
        <f t="shared" si="80"/>
        <v>8.0955318286574762</v>
      </c>
      <c r="M127" s="144">
        <f t="shared" si="80"/>
        <v>8.6464823178677914</v>
      </c>
      <c r="N127" s="144">
        <f t="shared" si="80"/>
        <v>8.8806955514710726</v>
      </c>
      <c r="O127" s="144">
        <f t="shared" si="80"/>
        <v>8.5460301431713592</v>
      </c>
      <c r="P127" s="144">
        <f t="shared" si="80"/>
        <v>8.6460629326891958</v>
      </c>
      <c r="Q127" s="144">
        <f t="shared" si="80"/>
        <v>8.7678427839020028</v>
      </c>
      <c r="R127" s="144">
        <f t="shared" si="80"/>
        <v>8.9197138932801199</v>
      </c>
      <c r="S127" s="144">
        <f t="shared" si="80"/>
        <v>9.3391626557106857</v>
      </c>
      <c r="T127" s="144">
        <f t="shared" si="80"/>
        <v>9.9291417010349399</v>
      </c>
      <c r="U127" s="144">
        <f t="shared" si="80"/>
        <v>9.9482831298451515</v>
      </c>
      <c r="V127" s="144">
        <f t="shared" si="80"/>
        <v>10.503932869081646</v>
      </c>
      <c r="W127" s="144">
        <f t="shared" si="80"/>
        <v>10.755282811147231</v>
      </c>
      <c r="X127" s="144">
        <f t="shared" si="80"/>
        <v>11.307904166244484</v>
      </c>
      <c r="Y127" s="144">
        <f>Y121/Y9</f>
        <v>11.804262974934442</v>
      </c>
      <c r="Z127" s="144">
        <f>Z121/Z9</f>
        <v>11.425158129391223</v>
      </c>
      <c r="AA127" s="144">
        <f>AA121/AA9</f>
        <v>12.319027433664086</v>
      </c>
      <c r="AB127" s="560">
        <f>AVERAGE(Y127:AA127)</f>
        <v>11.849482845996585</v>
      </c>
      <c r="AC127" s="651"/>
      <c r="AD127" s="651"/>
      <c r="AE127" s="651"/>
      <c r="AF127" s="144"/>
      <c r="AG127" s="144"/>
      <c r="AH127" s="399"/>
      <c r="AI127" s="399"/>
    </row>
    <row r="128" spans="1:35">
      <c r="A128" s="521" t="s">
        <v>50</v>
      </c>
      <c r="F128" s="507">
        <f t="shared" ref="F128:K128" si="81">F121/F10</f>
        <v>1.524562373912312</v>
      </c>
      <c r="G128" s="507">
        <f t="shared" si="81"/>
        <v>1.5807488758875472</v>
      </c>
      <c r="H128" s="507">
        <f t="shared" si="81"/>
        <v>1.6162759365905097</v>
      </c>
      <c r="I128" s="507">
        <f t="shared" si="81"/>
        <v>1.604890913130119</v>
      </c>
      <c r="J128" s="507">
        <f t="shared" si="81"/>
        <v>1.6298285295036254</v>
      </c>
      <c r="K128" s="507">
        <f t="shared" si="81"/>
        <v>1.6655461116201937</v>
      </c>
      <c r="L128" s="507">
        <f t="shared" ref="L128:Y128" si="82">L121/L10</f>
        <v>1.7235331612568385</v>
      </c>
      <c r="M128" s="507">
        <f>M121/M10</f>
        <v>1.8222781832022588</v>
      </c>
      <c r="N128" s="507">
        <f t="shared" si="82"/>
        <v>1.9036682869583861</v>
      </c>
      <c r="O128" s="507">
        <f t="shared" si="82"/>
        <v>1.9639891422605931</v>
      </c>
      <c r="P128" s="507">
        <f t="shared" si="82"/>
        <v>1.9405223751035063</v>
      </c>
      <c r="Q128" s="507">
        <f t="shared" si="82"/>
        <v>1.9598326407834996</v>
      </c>
      <c r="R128" s="507">
        <f t="shared" si="82"/>
        <v>2.0165809787464664</v>
      </c>
      <c r="S128" s="507">
        <f t="shared" si="82"/>
        <v>2.1042485458525686</v>
      </c>
      <c r="T128" s="507">
        <f t="shared" si="82"/>
        <v>2.1918006345258325</v>
      </c>
      <c r="U128" s="507">
        <f t="shared" si="82"/>
        <v>2.2156605424321962</v>
      </c>
      <c r="V128" s="507">
        <f t="shared" si="82"/>
        <v>2.2857132221711614</v>
      </c>
      <c r="W128" s="507">
        <f t="shared" si="82"/>
        <v>2.3332775717543863</v>
      </c>
      <c r="X128" s="507">
        <f t="shared" si="82"/>
        <v>2.4273825487431075</v>
      </c>
      <c r="Y128" s="507">
        <f t="shared" si="82"/>
        <v>2.5653024436836929</v>
      </c>
      <c r="Z128" s="507">
        <f>Z121/Z10</f>
        <v>2.6653968227123079</v>
      </c>
      <c r="AA128" s="507">
        <f>AA121/AA10</f>
        <v>2.7452785120693428</v>
      </c>
      <c r="AB128" s="641">
        <f>AVERAGE(Y128:AA128)</f>
        <v>2.6586592594884482</v>
      </c>
      <c r="AC128" s="652"/>
      <c r="AD128" s="652"/>
      <c r="AE128" s="652"/>
      <c r="AF128" s="537"/>
      <c r="AG128" s="507"/>
      <c r="AH128" s="538"/>
      <c r="AI128" s="538"/>
    </row>
    <row r="158" spans="1:26">
      <c r="B158">
        <f t="shared" ref="B158:Z158" si="83">B3</f>
        <v>1996</v>
      </c>
      <c r="C158">
        <f t="shared" si="83"/>
        <v>1997</v>
      </c>
      <c r="D158">
        <f t="shared" si="83"/>
        <v>1998</v>
      </c>
      <c r="E158">
        <f t="shared" si="83"/>
        <v>1999</v>
      </c>
      <c r="F158">
        <f t="shared" si="83"/>
        <v>2000</v>
      </c>
      <c r="G158">
        <f t="shared" si="83"/>
        <v>2001</v>
      </c>
      <c r="H158">
        <f t="shared" si="83"/>
        <v>2002</v>
      </c>
      <c r="I158">
        <f t="shared" si="83"/>
        <v>2003</v>
      </c>
      <c r="J158">
        <f t="shared" si="83"/>
        <v>2004</v>
      </c>
      <c r="K158">
        <f t="shared" si="83"/>
        <v>2005</v>
      </c>
      <c r="L158">
        <f t="shared" si="83"/>
        <v>2006</v>
      </c>
      <c r="M158">
        <f t="shared" si="83"/>
        <v>2007</v>
      </c>
      <c r="N158">
        <f t="shared" si="83"/>
        <v>2008</v>
      </c>
      <c r="O158">
        <f t="shared" si="83"/>
        <v>2009</v>
      </c>
      <c r="P158">
        <f t="shared" si="83"/>
        <v>2010</v>
      </c>
      <c r="Q158">
        <f t="shared" si="83"/>
        <v>2011</v>
      </c>
      <c r="R158">
        <f t="shared" si="83"/>
        <v>2012</v>
      </c>
      <c r="S158">
        <f t="shared" si="83"/>
        <v>2013</v>
      </c>
      <c r="T158">
        <f t="shared" si="83"/>
        <v>2014</v>
      </c>
      <c r="U158">
        <f t="shared" si="83"/>
        <v>2015</v>
      </c>
      <c r="V158">
        <f t="shared" si="83"/>
        <v>2016</v>
      </c>
      <c r="W158">
        <f t="shared" si="83"/>
        <v>2017</v>
      </c>
      <c r="X158">
        <f t="shared" si="83"/>
        <v>2018</v>
      </c>
      <c r="Y158">
        <f t="shared" si="83"/>
        <v>2019</v>
      </c>
      <c r="Z158">
        <f t="shared" si="83"/>
        <v>2020</v>
      </c>
    </row>
    <row r="159" spans="1:26">
      <c r="A159" t="str">
        <f t="shared" ref="A159:Z159" si="84">A5</f>
        <v>Agricoltura e Pesca</v>
      </c>
      <c r="B159">
        <f t="shared" si="84"/>
        <v>4.1070000000000002</v>
      </c>
      <c r="C159">
        <f t="shared" si="84"/>
        <v>4.3529999999999998</v>
      </c>
      <c r="D159">
        <f t="shared" si="84"/>
        <v>4.4868000000000006</v>
      </c>
      <c r="E159">
        <f t="shared" si="84"/>
        <v>4.6821999999999999</v>
      </c>
      <c r="F159" s="177">
        <f t="shared" si="84"/>
        <v>4.9066000000000001</v>
      </c>
      <c r="G159" s="177">
        <f t="shared" si="84"/>
        <v>5.1626000000000003</v>
      </c>
      <c r="H159" s="177">
        <f t="shared" si="84"/>
        <v>4.8902000000000001</v>
      </c>
      <c r="I159" s="177">
        <f t="shared" si="84"/>
        <v>5.1621999999999995</v>
      </c>
      <c r="J159" s="177">
        <f t="shared" si="84"/>
        <v>5.1848000000000001</v>
      </c>
      <c r="K159" s="177">
        <f t="shared" si="84"/>
        <v>5.3643999999999998</v>
      </c>
      <c r="L159" s="177">
        <f t="shared" si="84"/>
        <v>5.5034999999999998</v>
      </c>
      <c r="M159" s="177">
        <f t="shared" si="84"/>
        <v>5.6592000000000002</v>
      </c>
      <c r="N159" s="177">
        <f t="shared" si="84"/>
        <v>5.6695000000000002</v>
      </c>
      <c r="O159" s="177">
        <f t="shared" si="84"/>
        <v>5.6498999999999997</v>
      </c>
      <c r="P159" s="177">
        <f t="shared" si="84"/>
        <v>5.6103000000000005</v>
      </c>
      <c r="Q159" s="177">
        <f t="shared" si="84"/>
        <v>5.907</v>
      </c>
      <c r="R159" s="177">
        <f t="shared" si="84"/>
        <v>5.9236000000000004</v>
      </c>
      <c r="S159" s="177">
        <f t="shared" si="84"/>
        <v>5.6771000000000003</v>
      </c>
      <c r="T159" s="177">
        <f t="shared" si="84"/>
        <v>5.3721000000000005</v>
      </c>
      <c r="U159" s="177">
        <f t="shared" si="84"/>
        <v>5.6898999999999997</v>
      </c>
      <c r="V159" s="177">
        <f t="shared" si="84"/>
        <v>5.5674999999999999</v>
      </c>
      <c r="W159" s="177">
        <f t="shared" si="84"/>
        <v>5.9904000000000002</v>
      </c>
      <c r="X159" s="177">
        <f t="shared" si="84"/>
        <v>5.8433000000000002</v>
      </c>
      <c r="Y159" s="177">
        <f t="shared" si="84"/>
        <v>6.0523999999999996</v>
      </c>
      <c r="Z159" s="177">
        <f t="shared" si="84"/>
        <v>6.3105000000000002</v>
      </c>
    </row>
    <row r="160" spans="1:26">
      <c r="A160" t="str">
        <f t="shared" ref="A160:Z160" si="85">A6</f>
        <v>Industria</v>
      </c>
      <c r="B160">
        <f t="shared" si="85"/>
        <v>129.12799999999999</v>
      </c>
      <c r="C160">
        <f t="shared" si="85"/>
        <v>133.88999999999999</v>
      </c>
      <c r="D160">
        <f t="shared" si="85"/>
        <v>137.7003</v>
      </c>
      <c r="E160">
        <f t="shared" si="85"/>
        <v>139.69810000000001</v>
      </c>
      <c r="F160" s="177">
        <f t="shared" si="85"/>
        <v>148.19239999999999</v>
      </c>
      <c r="G160" s="177">
        <f t="shared" si="85"/>
        <v>150.9734</v>
      </c>
      <c r="H160" s="177">
        <f t="shared" si="85"/>
        <v>151.3141</v>
      </c>
      <c r="I160" s="177">
        <f t="shared" si="85"/>
        <v>152.7209</v>
      </c>
      <c r="J160" s="177">
        <f t="shared" si="85"/>
        <v>153.15529999999998</v>
      </c>
      <c r="K160" s="177">
        <f t="shared" si="85"/>
        <v>153.7268</v>
      </c>
      <c r="L160" s="177">
        <f t="shared" si="85"/>
        <v>156.1506</v>
      </c>
      <c r="M160" s="177">
        <f t="shared" si="85"/>
        <v>155.80429999999998</v>
      </c>
      <c r="N160" s="177">
        <f t="shared" si="85"/>
        <v>151.36660000000001</v>
      </c>
      <c r="O160" s="177">
        <f t="shared" si="85"/>
        <v>130.5059</v>
      </c>
      <c r="P160" s="177">
        <f t="shared" si="85"/>
        <v>138.43929999999997</v>
      </c>
      <c r="Q160" s="177">
        <f t="shared" si="85"/>
        <v>140.03960000000001</v>
      </c>
      <c r="R160" s="177">
        <f t="shared" si="85"/>
        <v>130.80089999999998</v>
      </c>
      <c r="S160" s="177">
        <f t="shared" si="85"/>
        <v>124.8708</v>
      </c>
      <c r="T160" s="177">
        <f t="shared" si="85"/>
        <v>122.505</v>
      </c>
      <c r="U160" s="177">
        <f t="shared" si="85"/>
        <v>122.3623</v>
      </c>
      <c r="V160" s="177">
        <f t="shared" si="85"/>
        <v>122.738</v>
      </c>
      <c r="W160" s="177">
        <f t="shared" si="85"/>
        <v>125.52460000000001</v>
      </c>
      <c r="X160" s="177">
        <f t="shared" si="85"/>
        <v>126.432</v>
      </c>
      <c r="Y160" s="177">
        <f t="shared" si="85"/>
        <v>128.93998999999999</v>
      </c>
      <c r="Z160" s="177">
        <f t="shared" si="85"/>
        <v>125.4175</v>
      </c>
    </row>
    <row r="161" spans="1:26">
      <c r="A161" t="s">
        <v>479</v>
      </c>
      <c r="B161">
        <f>B7</f>
        <v>54.722000000000001</v>
      </c>
      <c r="C161">
        <f>C7</f>
        <v>56.923000000000002</v>
      </c>
      <c r="D161">
        <f>D7</f>
        <v>59.346599999999995</v>
      </c>
      <c r="E161">
        <f>E7</f>
        <v>62.186999999999998</v>
      </c>
      <c r="F161" s="177">
        <f>F7-F162</f>
        <v>56.594999999999999</v>
      </c>
      <c r="G161" s="177">
        <f t="shared" ref="G161:Z161" si="86">G7-G162</f>
        <v>59.235500000000002</v>
      </c>
      <c r="H161" s="177">
        <f t="shared" si="86"/>
        <v>62.830899999999993</v>
      </c>
      <c r="I161" s="177">
        <f t="shared" si="86"/>
        <v>67.42649999999999</v>
      </c>
      <c r="J161" s="177">
        <f t="shared" si="86"/>
        <v>69.954800000000006</v>
      </c>
      <c r="K161" s="177">
        <f t="shared" si="86"/>
        <v>73.875</v>
      </c>
      <c r="L161" s="177">
        <f t="shared" si="86"/>
        <v>78.057199999999995</v>
      </c>
      <c r="M161" s="177">
        <f t="shared" si="86"/>
        <v>79.864599999999996</v>
      </c>
      <c r="N161" s="177">
        <f t="shared" si="86"/>
        <v>82.773099999999999</v>
      </c>
      <c r="O161" s="177">
        <f t="shared" si="86"/>
        <v>84.299999999999983</v>
      </c>
      <c r="P161" s="177">
        <f t="shared" si="86"/>
        <v>85.618600000000001</v>
      </c>
      <c r="Q161" s="177">
        <f t="shared" si="86"/>
        <v>86.984899999999996</v>
      </c>
      <c r="R161" s="177">
        <f t="shared" si="86"/>
        <v>90.279399999999995</v>
      </c>
      <c r="S161" s="177">
        <f t="shared" si="86"/>
        <v>88.982200000000006</v>
      </c>
      <c r="T161" s="177">
        <f t="shared" si="86"/>
        <v>88.489299999999986</v>
      </c>
      <c r="U161" s="177">
        <f t="shared" si="86"/>
        <v>92.084900000000005</v>
      </c>
      <c r="V161" s="177">
        <f t="shared" si="86"/>
        <v>91.736000000000004</v>
      </c>
      <c r="W161" s="177">
        <f t="shared" si="86"/>
        <v>93.491899999999987</v>
      </c>
      <c r="X161" s="177">
        <f t="shared" si="86"/>
        <v>94.489800000000002</v>
      </c>
      <c r="Y161" s="177">
        <f t="shared" si="86"/>
        <v>89.4983</v>
      </c>
      <c r="Z161" s="177">
        <f t="shared" si="86"/>
        <v>75.690100000000001</v>
      </c>
    </row>
    <row r="162" spans="1:26">
      <c r="A162" t="s">
        <v>480</v>
      </c>
      <c r="B162">
        <f t="shared" ref="B162:Z162" si="87">B8</f>
        <v>8.1229999999999993</v>
      </c>
      <c r="C162">
        <f t="shared" si="87"/>
        <v>8.1097000000000001</v>
      </c>
      <c r="D162">
        <f t="shared" si="87"/>
        <v>8.2747000000000011</v>
      </c>
      <c r="E162">
        <f t="shared" si="87"/>
        <v>8.2886000000000006</v>
      </c>
      <c r="F162" s="177">
        <f t="shared" si="87"/>
        <v>8.5137999999999998</v>
      </c>
      <c r="G162" s="177">
        <f t="shared" si="87"/>
        <v>8.5672000000000015</v>
      </c>
      <c r="H162" s="177">
        <f t="shared" si="87"/>
        <v>8.9667999999999992</v>
      </c>
      <c r="I162" s="177">
        <f t="shared" si="87"/>
        <v>9.4632000000000005</v>
      </c>
      <c r="J162" s="177">
        <f t="shared" si="87"/>
        <v>9.6026000000000007</v>
      </c>
      <c r="K162" s="177">
        <f t="shared" si="87"/>
        <v>9.9179999999999993</v>
      </c>
      <c r="L162" s="177">
        <f t="shared" si="87"/>
        <v>10.219299999999999</v>
      </c>
      <c r="M162" s="177">
        <f t="shared" si="87"/>
        <v>10.4039</v>
      </c>
      <c r="N162" s="177">
        <f t="shared" si="87"/>
        <v>10.8391</v>
      </c>
      <c r="O162" s="177">
        <f t="shared" si="87"/>
        <v>10.5349</v>
      </c>
      <c r="P162" s="177">
        <f t="shared" si="87"/>
        <v>10.665899999999999</v>
      </c>
      <c r="Q162" s="177">
        <f t="shared" si="87"/>
        <v>10.7202</v>
      </c>
      <c r="R162" s="177">
        <f t="shared" si="87"/>
        <v>10.759</v>
      </c>
      <c r="S162" s="177">
        <f t="shared" si="87"/>
        <v>10.774299999999998</v>
      </c>
      <c r="T162" s="177">
        <f t="shared" si="87"/>
        <v>10.4621</v>
      </c>
      <c r="U162" s="177">
        <f t="shared" si="87"/>
        <v>10.855600000000001</v>
      </c>
      <c r="V162" s="177">
        <f t="shared" si="87"/>
        <v>11.1625</v>
      </c>
      <c r="W162" s="177">
        <f t="shared" si="87"/>
        <v>11.382899999999999</v>
      </c>
      <c r="X162" s="177">
        <f t="shared" si="87"/>
        <v>11.54</v>
      </c>
      <c r="Y162" s="177">
        <f t="shared" si="87"/>
        <v>11.725100000000001</v>
      </c>
      <c r="Z162" s="177">
        <f t="shared" si="87"/>
        <v>10.184700000000001</v>
      </c>
    </row>
    <row r="163" spans="1:26">
      <c r="A163" t="str">
        <f t="shared" ref="A163:Z163" si="88">A9</f>
        <v>Domestico</v>
      </c>
      <c r="B163">
        <f t="shared" si="88"/>
        <v>58.506999999999998</v>
      </c>
      <c r="C163">
        <f t="shared" si="88"/>
        <v>58.506999999999998</v>
      </c>
      <c r="D163">
        <f t="shared" si="88"/>
        <v>59.275300000000001</v>
      </c>
      <c r="E163">
        <f t="shared" si="88"/>
        <v>60.716900000000003</v>
      </c>
      <c r="F163" s="177">
        <f t="shared" si="88"/>
        <v>61.111699999999999</v>
      </c>
      <c r="G163" s="177">
        <f t="shared" si="88"/>
        <v>61.553199999999997</v>
      </c>
      <c r="H163" s="177">
        <f t="shared" si="88"/>
        <v>62.957599999999999</v>
      </c>
      <c r="I163" s="177">
        <f t="shared" si="88"/>
        <v>65.015799999999999</v>
      </c>
      <c r="J163" s="177">
        <f t="shared" si="88"/>
        <v>66.592199999999991</v>
      </c>
      <c r="K163" s="177">
        <f t="shared" si="88"/>
        <v>66.932500000000005</v>
      </c>
      <c r="L163" s="177">
        <f t="shared" si="88"/>
        <v>67.60260000000001</v>
      </c>
      <c r="M163" s="177">
        <f t="shared" si="88"/>
        <v>67.220399999999998</v>
      </c>
      <c r="N163" s="177">
        <f t="shared" si="88"/>
        <v>68.388899999999992</v>
      </c>
      <c r="O163" s="177">
        <f t="shared" si="88"/>
        <v>68.924399999999991</v>
      </c>
      <c r="P163" s="177">
        <f t="shared" si="88"/>
        <v>69.5505</v>
      </c>
      <c r="Q163" s="177">
        <f t="shared" si="88"/>
        <v>70.1404</v>
      </c>
      <c r="R163" s="177">
        <f t="shared" si="88"/>
        <v>69.456600000000009</v>
      </c>
      <c r="S163" s="177">
        <f t="shared" si="88"/>
        <v>66.983199999999997</v>
      </c>
      <c r="T163" s="177">
        <f t="shared" si="88"/>
        <v>64.254999999999995</v>
      </c>
      <c r="U163" s="177">
        <f t="shared" si="88"/>
        <v>66.187300000000008</v>
      </c>
      <c r="V163" s="177">
        <f t="shared" si="88"/>
        <v>64.304199999999994</v>
      </c>
      <c r="W163" s="177">
        <f t="shared" si="88"/>
        <v>65.490700000000004</v>
      </c>
      <c r="X163" s="177">
        <f t="shared" si="88"/>
        <v>65.137799999999999</v>
      </c>
      <c r="Y163" s="177">
        <f t="shared" si="88"/>
        <v>65.587999999999994</v>
      </c>
      <c r="Z163" s="177">
        <f t="shared" si="88"/>
        <v>66.211600000000004</v>
      </c>
    </row>
    <row r="164" spans="1:26">
      <c r="A164" t="str">
        <f t="shared" ref="A164:Z164" si="89">A10</f>
        <v>Totale</v>
      </c>
      <c r="B164">
        <f t="shared" si="89"/>
        <v>246.464</v>
      </c>
      <c r="C164">
        <f t="shared" si="89"/>
        <v>253.673</v>
      </c>
      <c r="D164">
        <f t="shared" si="89"/>
        <v>260.80899999999997</v>
      </c>
      <c r="E164">
        <f t="shared" si="89"/>
        <v>267.2842</v>
      </c>
      <c r="F164" s="177">
        <f t="shared" si="89"/>
        <v>279.31950000000001</v>
      </c>
      <c r="G164" s="177">
        <f t="shared" si="89"/>
        <v>285.49189999999999</v>
      </c>
      <c r="H164" s="177">
        <f t="shared" si="89"/>
        <v>290.95959999999997</v>
      </c>
      <c r="I164" s="177">
        <f t="shared" si="89"/>
        <v>299.78860000000003</v>
      </c>
      <c r="J164" s="177">
        <f t="shared" si="89"/>
        <v>304.48969999999997</v>
      </c>
      <c r="K164" s="177">
        <f t="shared" si="89"/>
        <v>309.81669999999997</v>
      </c>
      <c r="L164" s="177">
        <f t="shared" si="89"/>
        <v>317.53320000000002</v>
      </c>
      <c r="M164" s="177">
        <f t="shared" si="89"/>
        <v>318.95239999999995</v>
      </c>
      <c r="N164" s="177">
        <f t="shared" si="89"/>
        <v>319.03719999999998</v>
      </c>
      <c r="O164" s="177">
        <f t="shared" si="89"/>
        <v>299.9151</v>
      </c>
      <c r="P164" s="177">
        <f t="shared" si="89"/>
        <v>309.88459999999998</v>
      </c>
      <c r="Q164" s="177">
        <f t="shared" si="89"/>
        <v>313.7921</v>
      </c>
      <c r="R164" s="177">
        <f t="shared" si="89"/>
        <v>307.21949999999998</v>
      </c>
      <c r="S164" s="177">
        <f t="shared" si="89"/>
        <v>297.2876</v>
      </c>
      <c r="T164" s="177">
        <f t="shared" si="89"/>
        <v>291.08349999999996</v>
      </c>
      <c r="U164" s="177">
        <f t="shared" si="89"/>
        <v>297.18</v>
      </c>
      <c r="V164" s="177">
        <f t="shared" si="89"/>
        <v>295.50819999999999</v>
      </c>
      <c r="W164" s="177">
        <f t="shared" si="89"/>
        <v>301.88049999999998</v>
      </c>
      <c r="X164" s="177">
        <f t="shared" si="89"/>
        <v>303.44290000000001</v>
      </c>
      <c r="Y164" s="177">
        <f t="shared" si="89"/>
        <v>301.80378999999999</v>
      </c>
      <c r="Z164" s="177">
        <f t="shared" si="89"/>
        <v>283.81439999999998</v>
      </c>
    </row>
  </sheetData>
  <mergeCells count="1">
    <mergeCell ref="A1:B1"/>
  </mergeCells>
  <hyperlinks>
    <hyperlink ref="A1" location="Indice!A1" display="Torna indietro" xr:uid="{00000000-0004-0000-1F00-000000000000}"/>
  </hyperlinks>
  <pageMargins left="0.7" right="0.7" top="0.75" bottom="0.75" header="0.3" footer="0.3"/>
  <pageSetup orientation="portrait" horizontalDpi="200" verticalDpi="200"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83A4-C8EC-4926-83F8-EDC00976276D}">
  <sheetPr codeName="Foglio33"/>
  <dimension ref="A1:Y85"/>
  <sheetViews>
    <sheetView zoomScale="70" zoomScaleNormal="70" workbookViewId="0">
      <pane xSplit="1" ySplit="5" topLeftCell="B6" activePane="bottomRight" state="frozen"/>
      <selection activeCell="Z17" sqref="Z17:AC23"/>
      <selection pane="topRight" activeCell="Z17" sqref="Z17:AC23"/>
      <selection pane="bottomLeft" activeCell="Z17" sqref="Z17:AC23"/>
      <selection pane="bottomRight" activeCell="Z17" sqref="Z17:AC23"/>
    </sheetView>
  </sheetViews>
  <sheetFormatPr defaultRowHeight="14.4"/>
  <cols>
    <col min="1" max="1" width="46.44140625" bestFit="1" customWidth="1"/>
    <col min="2" max="2" width="11" customWidth="1"/>
    <col min="3" max="3" width="10.21875" bestFit="1" customWidth="1"/>
    <col min="4" max="4" width="12" bestFit="1" customWidth="1"/>
    <col min="5" max="12" width="10.21875" bestFit="1" customWidth="1"/>
    <col min="13" max="19" width="10.21875" customWidth="1"/>
    <col min="20" max="22" width="10.21875" bestFit="1" customWidth="1"/>
    <col min="23" max="24" width="10.21875" customWidth="1"/>
    <col min="25" max="25" width="9.21875" bestFit="1" customWidth="1"/>
  </cols>
  <sheetData>
    <row r="1" spans="1:25">
      <c r="A1" s="68" t="s">
        <v>518</v>
      </c>
      <c r="Y1" s="256"/>
    </row>
    <row r="2" spans="1:25">
      <c r="D2" s="477">
        <f t="shared" ref="D2:T2" si="0">+D15/D22</f>
        <v>0.28303375305510009</v>
      </c>
      <c r="E2" s="477">
        <f t="shared" si="0"/>
        <v>0.28510607168983176</v>
      </c>
      <c r="F2" s="477">
        <f t="shared" si="0"/>
        <v>0.2822674418604651</v>
      </c>
      <c r="G2" s="477">
        <f t="shared" si="0"/>
        <v>0.28311343216827367</v>
      </c>
      <c r="H2" s="477">
        <f t="shared" si="0"/>
        <v>0.31836441893830703</v>
      </c>
      <c r="I2" s="477">
        <f t="shared" si="0"/>
        <v>0.31115252549750455</v>
      </c>
      <c r="J2" s="477">
        <f t="shared" si="0"/>
        <v>0.29919333592603281</v>
      </c>
      <c r="K2" s="477">
        <f t="shared" si="0"/>
        <v>0.29177117709040495</v>
      </c>
      <c r="L2" s="477">
        <f t="shared" si="0"/>
        <v>0.29552437682163751</v>
      </c>
      <c r="M2" s="477">
        <f t="shared" si="0"/>
        <v>0.31299689457564539</v>
      </c>
      <c r="N2" s="477">
        <f t="shared" si="0"/>
        <v>0.38730819579408332</v>
      </c>
      <c r="O2" s="477">
        <f t="shared" si="0"/>
        <v>0.4040317213842059</v>
      </c>
      <c r="P2" s="477">
        <f t="shared" si="0"/>
        <v>0.40850119681287089</v>
      </c>
      <c r="Q2" s="477">
        <f t="shared" si="0"/>
        <v>0.40849450642141083</v>
      </c>
      <c r="R2" s="477">
        <f t="shared" si="0"/>
        <v>0.4087147570720418</v>
      </c>
      <c r="S2" s="477">
        <f t="shared" si="0"/>
        <v>0.42070485636169497</v>
      </c>
      <c r="T2" s="477">
        <f t="shared" si="0"/>
        <v>0.42197553788398656</v>
      </c>
      <c r="U2" s="477">
        <f>+U15/U22</f>
        <v>0.42604274852226537</v>
      </c>
      <c r="V2" s="477">
        <f>+V15/V22</f>
        <v>0.42420603845819199</v>
      </c>
      <c r="W2" s="477"/>
      <c r="X2" s="477"/>
      <c r="Y2" s="256"/>
    </row>
    <row r="3" spans="1:25" ht="15" thickBot="1">
      <c r="A3" s="677"/>
      <c r="B3" s="677"/>
      <c r="C3" s="677"/>
      <c r="D3" s="677"/>
      <c r="E3" s="677"/>
      <c r="F3" s="677"/>
      <c r="G3" s="677"/>
      <c r="H3" s="677"/>
      <c r="I3" s="677"/>
      <c r="J3" s="677"/>
      <c r="Y3" s="256"/>
    </row>
    <row r="4" spans="1:25">
      <c r="A4" s="909" t="s">
        <v>166</v>
      </c>
      <c r="B4" s="669"/>
      <c r="C4" s="668">
        <v>2000</v>
      </c>
      <c r="D4" s="668">
        <v>2005</v>
      </c>
      <c r="E4" s="668">
        <v>2006</v>
      </c>
      <c r="F4" s="668">
        <v>2007</v>
      </c>
      <c r="G4" s="668">
        <v>2008</v>
      </c>
      <c r="H4" s="668">
        <v>2009</v>
      </c>
      <c r="I4" s="668">
        <v>2010</v>
      </c>
      <c r="J4" s="668">
        <v>2011</v>
      </c>
      <c r="K4" s="668">
        <v>2012</v>
      </c>
      <c r="L4" s="668">
        <v>2013</v>
      </c>
      <c r="M4" s="668">
        <v>2014</v>
      </c>
      <c r="N4" s="668">
        <v>2015</v>
      </c>
      <c r="O4" s="668">
        <v>2016</v>
      </c>
      <c r="P4" s="668">
        <v>2017</v>
      </c>
      <c r="Q4" s="668">
        <v>2018</v>
      </c>
      <c r="R4" s="668">
        <v>2019</v>
      </c>
      <c r="S4" s="668">
        <v>2020</v>
      </c>
      <c r="T4" s="668">
        <v>2021</v>
      </c>
      <c r="U4" s="668">
        <v>2022</v>
      </c>
      <c r="V4" s="668">
        <v>2023</v>
      </c>
      <c r="W4" s="848">
        <v>2024</v>
      </c>
      <c r="X4" s="848">
        <v>2025</v>
      </c>
      <c r="Y4" s="256"/>
    </row>
    <row r="5" spans="1:25" ht="15" thickBot="1">
      <c r="A5" s="910"/>
      <c r="B5" s="666"/>
      <c r="C5" s="667" t="s">
        <v>164</v>
      </c>
      <c r="D5" s="667"/>
      <c r="E5" s="667"/>
      <c r="F5" s="667"/>
      <c r="G5" s="667"/>
      <c r="H5" s="667"/>
      <c r="I5" s="667"/>
      <c r="J5" s="667"/>
      <c r="K5" s="667"/>
      <c r="L5" s="667"/>
      <c r="M5" s="667"/>
      <c r="N5" s="667"/>
      <c r="O5" s="667"/>
      <c r="P5" s="667"/>
      <c r="Q5" s="667"/>
      <c r="R5" s="667"/>
      <c r="S5" s="667"/>
      <c r="T5" s="667"/>
      <c r="U5" s="667"/>
      <c r="V5" s="667"/>
      <c r="W5" s="849"/>
      <c r="X5" s="849"/>
    </row>
    <row r="6" spans="1:25" ht="15" thickBot="1">
      <c r="A6" s="666" t="s">
        <v>17</v>
      </c>
      <c r="B6" s="666"/>
      <c r="C6" s="665">
        <v>44.118000000000002</v>
      </c>
      <c r="D6" s="665">
        <v>46.348999999999997</v>
      </c>
      <c r="E6" s="665">
        <v>48.863</v>
      </c>
      <c r="F6" s="665">
        <v>51.848999999999997</v>
      </c>
      <c r="G6" s="665">
        <v>54.497</v>
      </c>
      <c r="H6" s="665">
        <v>52.261000000000003</v>
      </c>
      <c r="I6" s="665">
        <v>53.965000000000003</v>
      </c>
      <c r="J6" s="665">
        <v>55.862000000000002</v>
      </c>
      <c r="K6" s="665">
        <f t="shared" ref="K6:P6" si="1">(SUM(K7:K13))</f>
        <v>57.064900000000002</v>
      </c>
      <c r="L6" s="665">
        <f t="shared" si="1"/>
        <v>55.301900000000003</v>
      </c>
      <c r="M6" s="665">
        <f t="shared" si="1"/>
        <v>51.501599999999996</v>
      </c>
      <c r="N6" s="665">
        <f t="shared" si="1"/>
        <v>42.029799999999987</v>
      </c>
      <c r="O6" s="665">
        <f t="shared" si="1"/>
        <v>38.687399999999997</v>
      </c>
      <c r="P6" s="665">
        <f t="shared" si="1"/>
        <v>37.882599999999996</v>
      </c>
      <c r="Q6" s="665">
        <f t="shared" ref="Q6:V6" si="2">(SUM(Q7:Q14))</f>
        <v>37.868299999999991</v>
      </c>
      <c r="R6" s="665">
        <f t="shared" si="2"/>
        <v>37.812099999999994</v>
      </c>
      <c r="S6" s="665">
        <f t="shared" si="2"/>
        <v>36.295100000000005</v>
      </c>
      <c r="T6" s="665">
        <f t="shared" si="2"/>
        <v>35.798500000000004</v>
      </c>
      <c r="U6" s="665">
        <f t="shared" si="2"/>
        <v>35.810800000000008</v>
      </c>
      <c r="V6" s="665">
        <f t="shared" si="2"/>
        <v>36.396799999999999</v>
      </c>
      <c r="W6" s="859">
        <f>V6/K6-1</f>
        <v>-0.36218586206231851</v>
      </c>
      <c r="X6" s="850"/>
    </row>
    <row r="7" spans="1:25">
      <c r="A7" s="663" t="s">
        <v>18</v>
      </c>
      <c r="B7" s="663" t="s">
        <v>517</v>
      </c>
      <c r="C7" s="662">
        <v>0.41899999999999998</v>
      </c>
      <c r="D7" s="662">
        <v>0.504</v>
      </c>
      <c r="E7" s="662">
        <v>0.52800000000000002</v>
      </c>
      <c r="F7" s="662">
        <v>0.55900000000000005</v>
      </c>
      <c r="G7" s="662">
        <v>0.63</v>
      </c>
      <c r="H7" s="662">
        <v>0.72299999999999998</v>
      </c>
      <c r="I7" s="662">
        <v>0.89100000000000001</v>
      </c>
      <c r="J7" s="662">
        <v>1.0515999999999999</v>
      </c>
      <c r="K7" s="662">
        <v>1.3879999999999999</v>
      </c>
      <c r="L7" s="662">
        <v>1.3888</v>
      </c>
      <c r="M7" s="662">
        <v>1.3180000000000001</v>
      </c>
      <c r="N7" s="662">
        <v>1.2370000000000001</v>
      </c>
      <c r="O7" s="662">
        <v>1.2364999999999999</v>
      </c>
      <c r="P7" s="662">
        <v>1.2402</v>
      </c>
      <c r="Q7" s="662">
        <v>1.224</v>
      </c>
      <c r="R7" s="662">
        <v>1.2035</v>
      </c>
      <c r="S7" s="662">
        <v>1.1915</v>
      </c>
      <c r="T7" s="662">
        <v>1.1418999999999999</v>
      </c>
      <c r="U7" s="662">
        <v>1.2854000000000001</v>
      </c>
      <c r="V7" s="662">
        <v>1.5024</v>
      </c>
      <c r="W7" s="859">
        <f>V7/K7-1</f>
        <v>8.2420749279539018E-2</v>
      </c>
      <c r="X7" s="662"/>
      <c r="Y7" s="662"/>
    </row>
    <row r="8" spans="1:25">
      <c r="A8" s="663" t="s">
        <v>19</v>
      </c>
      <c r="B8" s="663" t="s">
        <v>516</v>
      </c>
      <c r="C8" s="662">
        <v>4.4829999999999997</v>
      </c>
      <c r="D8" s="662">
        <v>2.98</v>
      </c>
      <c r="E8" s="662">
        <v>2.968</v>
      </c>
      <c r="F8" s="662">
        <v>2.9790000000000001</v>
      </c>
      <c r="G8" s="662">
        <v>3.0990000000000002</v>
      </c>
      <c r="H8" s="662">
        <v>2.5019999999999998</v>
      </c>
      <c r="I8" s="662">
        <v>2.5169999999999999</v>
      </c>
      <c r="J8" s="662">
        <v>2.5489999999999999</v>
      </c>
      <c r="K8" s="662">
        <v>2.5464000000000002</v>
      </c>
      <c r="L8" s="662">
        <v>2.0970999999999997</v>
      </c>
      <c r="M8" s="662">
        <v>1.5161</v>
      </c>
      <c r="N8" s="662">
        <v>2.1242999999999999</v>
      </c>
      <c r="O8" s="662">
        <v>2.7189999999999999</v>
      </c>
      <c r="P8" s="662">
        <v>2.7187000000000001</v>
      </c>
      <c r="Q8" s="662">
        <v>2.7185999999999999</v>
      </c>
      <c r="R8" s="662">
        <v>2.7061000000000002</v>
      </c>
      <c r="S8" s="662">
        <v>2.3544999999999998</v>
      </c>
      <c r="T8" s="662">
        <v>2.3544999999999998</v>
      </c>
      <c r="U8" s="662">
        <v>2.363</v>
      </c>
      <c r="V8" s="662">
        <v>2.6154999999999999</v>
      </c>
      <c r="W8" s="662"/>
      <c r="X8" s="662"/>
    </row>
    <row r="9" spans="1:25">
      <c r="A9" s="663" t="s">
        <v>20</v>
      </c>
      <c r="B9" s="663" t="s">
        <v>515</v>
      </c>
      <c r="C9" s="662">
        <v>37.54</v>
      </c>
      <c r="D9" s="662">
        <v>24.084</v>
      </c>
      <c r="E9" s="662">
        <v>23.736000000000001</v>
      </c>
      <c r="F9" s="662">
        <v>23.288</v>
      </c>
      <c r="G9" s="662">
        <v>23.353999999999999</v>
      </c>
      <c r="H9" s="662">
        <v>21.884</v>
      </c>
      <c r="I9" s="662">
        <v>21.803000000000001</v>
      </c>
      <c r="J9" s="662">
        <v>21.556999999999999</v>
      </c>
      <c r="K9" s="662">
        <v>21.555199999999999</v>
      </c>
      <c r="L9" s="662">
        <v>20.949200000000001</v>
      </c>
      <c r="M9" s="662">
        <v>17.873799999999999</v>
      </c>
      <c r="N9" s="662">
        <v>13.478999999999999</v>
      </c>
      <c r="O9" s="662">
        <v>12.5648</v>
      </c>
      <c r="P9" s="662">
        <v>11.7476</v>
      </c>
      <c r="Q9" s="662">
        <v>11.748200000000001</v>
      </c>
      <c r="R9" s="662">
        <v>11.7067</v>
      </c>
      <c r="S9" s="662">
        <v>10.546799999999999</v>
      </c>
      <c r="T9" s="662">
        <v>9.9123999999999999</v>
      </c>
      <c r="U9" s="662">
        <v>9.1585000000000001</v>
      </c>
      <c r="V9" s="662">
        <v>9.1479999999999997</v>
      </c>
      <c r="W9" s="662"/>
      <c r="X9" s="662"/>
      <c r="Y9" s="56"/>
    </row>
    <row r="10" spans="1:25">
      <c r="A10" s="663" t="s">
        <v>21</v>
      </c>
      <c r="B10" s="663" t="s">
        <v>514</v>
      </c>
      <c r="C10" s="662">
        <v>1.601</v>
      </c>
      <c r="D10" s="662">
        <v>12.782999999999999</v>
      </c>
      <c r="E10" s="662">
        <v>15.555999999999999</v>
      </c>
      <c r="F10" s="662">
        <v>18.940000000000001</v>
      </c>
      <c r="G10" s="662">
        <v>21.768999999999998</v>
      </c>
      <c r="H10" s="662">
        <v>21.504000000000001</v>
      </c>
      <c r="I10" s="662">
        <v>23.106999999999999</v>
      </c>
      <c r="J10" s="662">
        <v>25.065000000000001</v>
      </c>
      <c r="K10" s="662">
        <v>25.9343</v>
      </c>
      <c r="L10" s="662">
        <v>25.2196</v>
      </c>
      <c r="M10" s="662">
        <v>25.131399999999999</v>
      </c>
      <c r="N10" s="662">
        <v>22.611999999999998</v>
      </c>
      <c r="O10" s="662">
        <v>21.821200000000001</v>
      </c>
      <c r="P10" s="662">
        <v>21.823899999999998</v>
      </c>
      <c r="Q10" s="662">
        <v>21.823899999999998</v>
      </c>
      <c r="R10" s="662">
        <v>21.823899999999998</v>
      </c>
      <c r="S10" s="662">
        <v>21.8965</v>
      </c>
      <c r="T10" s="662">
        <v>22.080100000000002</v>
      </c>
      <c r="U10" s="662">
        <v>22.693200000000001</v>
      </c>
      <c r="V10" s="662">
        <v>22.8215</v>
      </c>
      <c r="W10" s="859">
        <f>V10/K10-1</f>
        <v>-0.1200263743382316</v>
      </c>
      <c r="X10" s="662"/>
      <c r="Y10" s="208"/>
    </row>
    <row r="11" spans="1:25">
      <c r="A11" s="663" t="s">
        <v>23</v>
      </c>
      <c r="B11" s="663" t="s">
        <v>513</v>
      </c>
      <c r="C11" s="664">
        <v>0</v>
      </c>
      <c r="D11" s="662">
        <v>5.758</v>
      </c>
      <c r="E11" s="662">
        <v>5.758</v>
      </c>
      <c r="F11" s="662">
        <v>5.758</v>
      </c>
      <c r="G11" s="662">
        <v>5.3179999999999996</v>
      </c>
      <c r="H11" s="662">
        <v>5.3179999999999996</v>
      </c>
      <c r="I11" s="662">
        <v>5.3179999999999996</v>
      </c>
      <c r="J11" s="662">
        <v>5.3179999999999996</v>
      </c>
      <c r="K11" s="662">
        <v>5.3176000000000005</v>
      </c>
      <c r="L11" s="662">
        <v>5.3176000000000005</v>
      </c>
      <c r="M11" s="662">
        <v>5.3175999999999997</v>
      </c>
      <c r="N11" s="662">
        <v>2.2444000000000002</v>
      </c>
      <c r="O11" s="662">
        <v>0</v>
      </c>
      <c r="P11" s="662">
        <v>0</v>
      </c>
      <c r="Q11" s="662">
        <v>0</v>
      </c>
      <c r="R11" s="662">
        <v>0</v>
      </c>
      <c r="S11" s="662">
        <v>0</v>
      </c>
      <c r="T11" s="662">
        <v>0</v>
      </c>
      <c r="U11" s="662">
        <v>0</v>
      </c>
      <c r="V11" s="662">
        <v>0</v>
      </c>
      <c r="W11" s="662"/>
      <c r="X11" s="662"/>
    </row>
    <row r="12" spans="1:25">
      <c r="A12" s="663" t="s">
        <v>167</v>
      </c>
      <c r="B12" s="663"/>
      <c r="C12" s="662">
        <v>7.5999999999999998E-2</v>
      </c>
      <c r="D12" s="662">
        <v>0.14399999999999999</v>
      </c>
      <c r="E12" s="662">
        <v>0.14199999999999999</v>
      </c>
      <c r="F12" s="662">
        <v>0.151</v>
      </c>
      <c r="G12" s="662">
        <v>0.152</v>
      </c>
      <c r="H12" s="662">
        <v>0.151</v>
      </c>
      <c r="I12" s="662">
        <v>0.151</v>
      </c>
      <c r="J12" s="662">
        <v>0.14199999999999999</v>
      </c>
      <c r="K12" s="662">
        <v>0.14299999999999999</v>
      </c>
      <c r="L12" s="662">
        <v>0.15230000000000002</v>
      </c>
      <c r="M12" s="662">
        <v>0.1663</v>
      </c>
      <c r="N12" s="662">
        <v>0.1641</v>
      </c>
      <c r="O12" s="662">
        <v>0.16470000000000001</v>
      </c>
      <c r="P12" s="662">
        <v>0.17100000000000001</v>
      </c>
      <c r="Q12" s="662">
        <v>0.17219999999999999</v>
      </c>
      <c r="R12" s="662">
        <v>0.1832</v>
      </c>
      <c r="S12" s="662">
        <v>0.18329999999999999</v>
      </c>
      <c r="T12" s="662">
        <v>0.18709999999999999</v>
      </c>
      <c r="U12" s="662">
        <v>0.1883</v>
      </c>
      <c r="V12" s="662">
        <v>0.18720000000000001</v>
      </c>
      <c r="W12" s="662"/>
      <c r="X12" s="662"/>
    </row>
    <row r="13" spans="1:25">
      <c r="A13" s="663" t="s">
        <v>168</v>
      </c>
      <c r="B13" s="663"/>
      <c r="C13" s="682">
        <v>0</v>
      </c>
      <c r="D13" s="679">
        <v>9.6000000000000002E-2</v>
      </c>
      <c r="E13" s="679">
        <v>0.17399999999999999</v>
      </c>
      <c r="F13" s="679">
        <v>0.17399999999999999</v>
      </c>
      <c r="G13" s="679">
        <v>0.17399999999999999</v>
      </c>
      <c r="H13" s="679">
        <v>0.18099999999999999</v>
      </c>
      <c r="I13" s="679">
        <v>0.17899999999999999</v>
      </c>
      <c r="J13" s="679">
        <v>0.18</v>
      </c>
      <c r="K13" s="679">
        <v>0.1804</v>
      </c>
      <c r="L13" s="679">
        <v>0.17730000000000001</v>
      </c>
      <c r="M13" s="679">
        <v>0.1784</v>
      </c>
      <c r="N13" s="679">
        <v>0.16900000000000001</v>
      </c>
      <c r="O13" s="679">
        <v>0.1812</v>
      </c>
      <c r="P13" s="679">
        <v>0.1812</v>
      </c>
      <c r="Q13" s="679">
        <v>0.1812</v>
      </c>
      <c r="R13" s="679">
        <v>0.1885</v>
      </c>
      <c r="S13" s="679">
        <v>0.12230000000000001</v>
      </c>
      <c r="T13" s="679">
        <v>0.12230000000000001</v>
      </c>
      <c r="U13" s="679">
        <v>0.12230000000000001</v>
      </c>
      <c r="V13" s="679">
        <v>0.1211</v>
      </c>
      <c r="W13" s="679"/>
      <c r="X13" s="679"/>
    </row>
    <row r="14" spans="1:25" ht="15" thickBot="1">
      <c r="A14" s="672" t="s">
        <v>387</v>
      </c>
      <c r="B14" s="672"/>
      <c r="C14" s="681"/>
      <c r="D14" s="671"/>
      <c r="E14" s="671"/>
      <c r="F14" s="671"/>
      <c r="G14" s="671"/>
      <c r="H14" s="671"/>
      <c r="I14" s="671"/>
      <c r="J14" s="671"/>
      <c r="K14" s="671"/>
      <c r="L14" s="671"/>
      <c r="M14" s="671"/>
      <c r="N14" s="671"/>
      <c r="O14" s="671"/>
      <c r="P14" s="671"/>
      <c r="Q14" s="671">
        <v>2.0000000000000001E-4</v>
      </c>
      <c r="R14" s="671">
        <v>2.0000000000000001E-4</v>
      </c>
      <c r="S14" s="671">
        <v>2.0000000000000001E-4</v>
      </c>
      <c r="T14" s="671">
        <v>2.0000000000000001E-4</v>
      </c>
      <c r="U14" s="671">
        <v>1E-4</v>
      </c>
      <c r="V14" s="671">
        <v>1.1000000000000001E-3</v>
      </c>
      <c r="W14" s="679"/>
      <c r="X14" s="679"/>
    </row>
    <row r="15" spans="1:25">
      <c r="A15" s="675" t="s">
        <v>24</v>
      </c>
      <c r="B15" s="675"/>
      <c r="C15" s="680">
        <v>12.218</v>
      </c>
      <c r="D15" s="680">
        <v>18.297000000000001</v>
      </c>
      <c r="E15" s="680">
        <v>19.486999999999998</v>
      </c>
      <c r="F15" s="680">
        <v>20.390999999999998</v>
      </c>
      <c r="G15" s="680">
        <v>21.521999999999998</v>
      </c>
      <c r="H15" s="680">
        <v>24.408999999999999</v>
      </c>
      <c r="I15" s="680">
        <v>24.376000000000001</v>
      </c>
      <c r="J15" s="680">
        <v>23.849</v>
      </c>
      <c r="K15" s="680">
        <f t="shared" ref="K15:P15" si="3">SUM(K16:K20)</f>
        <v>23.5092</v>
      </c>
      <c r="L15" s="680">
        <f t="shared" si="3"/>
        <v>23.198900000000002</v>
      </c>
      <c r="M15" s="680">
        <f t="shared" si="3"/>
        <v>23.464000000000002</v>
      </c>
      <c r="N15" s="680">
        <f t="shared" si="3"/>
        <v>26.5688</v>
      </c>
      <c r="O15" s="680">
        <f t="shared" si="3"/>
        <v>26.227800000000002</v>
      </c>
      <c r="P15" s="680">
        <f t="shared" si="3"/>
        <v>26.162499999999994</v>
      </c>
      <c r="Q15" s="680">
        <f t="shared" ref="Q15:V15" si="4">SUM(Q16:Q21)</f>
        <v>26.151900000000001</v>
      </c>
      <c r="R15" s="680">
        <f t="shared" si="4"/>
        <v>26.136899999999997</v>
      </c>
      <c r="S15" s="680">
        <f t="shared" si="4"/>
        <v>26.358800000000002</v>
      </c>
      <c r="T15" s="680">
        <f t="shared" si="4"/>
        <v>26.134</v>
      </c>
      <c r="U15" s="680">
        <f t="shared" si="4"/>
        <v>26.582000000000001</v>
      </c>
      <c r="V15" s="680">
        <f t="shared" si="4"/>
        <v>26.814700000000002</v>
      </c>
      <c r="W15" s="859">
        <f>V15/K15-1</f>
        <v>0.14060452929066081</v>
      </c>
      <c r="X15" s="680"/>
    </row>
    <row r="16" spans="1:25">
      <c r="A16" s="663" t="s">
        <v>25</v>
      </c>
      <c r="B16" s="663" t="s">
        <v>512</v>
      </c>
      <c r="C16" s="662">
        <v>0.42499999999999999</v>
      </c>
      <c r="D16" s="662">
        <v>0.63300000000000001</v>
      </c>
      <c r="E16" s="662">
        <v>0.70399999999999996</v>
      </c>
      <c r="F16" s="662">
        <v>0.76300000000000001</v>
      </c>
      <c r="G16" s="662">
        <v>0.82499999999999996</v>
      </c>
      <c r="H16" s="662">
        <v>1.115</v>
      </c>
      <c r="I16" s="662">
        <v>1.42</v>
      </c>
      <c r="J16" s="662">
        <v>1.8169999999999999</v>
      </c>
      <c r="K16" s="662">
        <v>2.3540999999999999</v>
      </c>
      <c r="L16" s="662">
        <v>2.5390000000000001</v>
      </c>
      <c r="M16" s="662">
        <v>2.8271000000000002</v>
      </c>
      <c r="N16" s="662">
        <v>3.0895000000000001</v>
      </c>
      <c r="O16" s="662">
        <v>3.2547999999999999</v>
      </c>
      <c r="P16" s="662">
        <v>3.3668999999999998</v>
      </c>
      <c r="Q16" s="662">
        <v>3.5444</v>
      </c>
      <c r="R16" s="662">
        <v>3.6852999999999998</v>
      </c>
      <c r="S16" s="662">
        <v>3.7970000000000002</v>
      </c>
      <c r="T16" s="662">
        <v>3.9034</v>
      </c>
      <c r="U16" s="662">
        <v>4.0803000000000003</v>
      </c>
      <c r="V16" s="662">
        <v>4.2134999999999998</v>
      </c>
      <c r="W16" s="662"/>
      <c r="X16" s="662"/>
    </row>
    <row r="17" spans="1:25">
      <c r="A17" s="663" t="s">
        <v>26</v>
      </c>
      <c r="B17" s="663" t="s">
        <v>511</v>
      </c>
      <c r="C17" s="662">
        <v>0.88300000000000001</v>
      </c>
      <c r="D17" s="662">
        <v>1.0249999999999999</v>
      </c>
      <c r="E17" s="662">
        <v>1.052</v>
      </c>
      <c r="F17" s="662">
        <v>1.0760000000000001</v>
      </c>
      <c r="G17" s="662">
        <v>1.0049999999999999</v>
      </c>
      <c r="H17" s="662">
        <v>0.89</v>
      </c>
      <c r="I17" s="662">
        <v>0.89190000000000003</v>
      </c>
      <c r="J17" s="662">
        <v>0.94799999999999995</v>
      </c>
      <c r="K17" s="662">
        <v>0.94510000000000005</v>
      </c>
      <c r="L17" s="662">
        <v>1.008</v>
      </c>
      <c r="M17" s="662">
        <v>1.0439000000000001</v>
      </c>
      <c r="N17" s="662">
        <v>1.0606</v>
      </c>
      <c r="O17" s="662">
        <v>1.0487</v>
      </c>
      <c r="P17" s="662">
        <v>1.0334000000000001</v>
      </c>
      <c r="Q17" s="662">
        <v>1.0194000000000001</v>
      </c>
      <c r="R17" s="662">
        <v>1.028</v>
      </c>
      <c r="S17" s="662">
        <v>1.0484</v>
      </c>
      <c r="T17" s="662">
        <v>1.6680999999999999</v>
      </c>
      <c r="U17" s="662">
        <v>1.4371</v>
      </c>
      <c r="V17" s="662">
        <v>1.4421999999999999</v>
      </c>
      <c r="W17" s="662"/>
      <c r="X17" s="662"/>
    </row>
    <row r="18" spans="1:25">
      <c r="A18" s="663" t="s">
        <v>27</v>
      </c>
      <c r="B18" s="663" t="s">
        <v>510</v>
      </c>
      <c r="C18" s="662">
        <v>6.3440000000000003</v>
      </c>
      <c r="D18" s="662">
        <v>12.555</v>
      </c>
      <c r="E18" s="662">
        <v>13.914999999999999</v>
      </c>
      <c r="F18" s="662">
        <v>15</v>
      </c>
      <c r="G18" s="662">
        <v>16.341999999999999</v>
      </c>
      <c r="H18" s="662">
        <v>19.125</v>
      </c>
      <c r="I18" s="662">
        <v>18.928999999999998</v>
      </c>
      <c r="J18" s="662">
        <v>18.338999999999999</v>
      </c>
      <c r="K18" s="662">
        <v>17.5014</v>
      </c>
      <c r="L18" s="662">
        <v>16.932400000000001</v>
      </c>
      <c r="M18" s="662">
        <v>16.8583</v>
      </c>
      <c r="N18" s="662">
        <v>19.208400000000001</v>
      </c>
      <c r="O18" s="662">
        <v>19.017800000000001</v>
      </c>
      <c r="P18" s="662">
        <v>18.884699999999999</v>
      </c>
      <c r="Q18" s="662">
        <v>18.886700000000001</v>
      </c>
      <c r="R18" s="662">
        <v>18.731999999999999</v>
      </c>
      <c r="S18" s="662">
        <v>18.888999999999999</v>
      </c>
      <c r="T18" s="662">
        <v>17.9984</v>
      </c>
      <c r="U18" s="662">
        <v>18.760300000000001</v>
      </c>
      <c r="V18" s="662">
        <v>18.929300000000001</v>
      </c>
      <c r="W18" s="859">
        <f>V18/K18-1</f>
        <v>8.1587758693590251E-2</v>
      </c>
      <c r="X18" s="662"/>
    </row>
    <row r="19" spans="1:25">
      <c r="A19" s="663" t="s">
        <v>28</v>
      </c>
      <c r="B19" s="663" t="s">
        <v>509</v>
      </c>
      <c r="C19" s="662">
        <v>2.0209999999999999</v>
      </c>
      <c r="D19" s="662">
        <v>1.8879999999999999</v>
      </c>
      <c r="E19" s="662">
        <v>1.7649999999999999</v>
      </c>
      <c r="F19" s="662">
        <v>1.605</v>
      </c>
      <c r="G19" s="662">
        <v>1.579</v>
      </c>
      <c r="H19" s="662">
        <v>1.496</v>
      </c>
      <c r="I19" s="662">
        <v>1.3009999999999999</v>
      </c>
      <c r="J19" s="662">
        <v>1.26</v>
      </c>
      <c r="K19" s="662">
        <v>1.1682000000000001</v>
      </c>
      <c r="L19" s="662">
        <v>1.0539000000000001</v>
      </c>
      <c r="M19" s="662">
        <v>1.0235000000000001</v>
      </c>
      <c r="N19" s="662">
        <v>1.0132000000000001</v>
      </c>
      <c r="O19" s="662">
        <v>0.72699999999999998</v>
      </c>
      <c r="P19" s="662">
        <v>0.71679999999999999</v>
      </c>
      <c r="Q19" s="662">
        <v>0.64419999999999999</v>
      </c>
      <c r="R19" s="662">
        <v>0.60880000000000001</v>
      </c>
      <c r="S19" s="662">
        <v>0.55900000000000005</v>
      </c>
      <c r="T19" s="662">
        <v>0.57299999999999995</v>
      </c>
      <c r="U19" s="662">
        <v>0.56930000000000003</v>
      </c>
      <c r="V19" s="662">
        <v>0.57250000000000001</v>
      </c>
      <c r="W19" s="662"/>
      <c r="X19" s="662"/>
    </row>
    <row r="20" spans="1:25">
      <c r="A20" s="663" t="s">
        <v>29</v>
      </c>
      <c r="B20" s="663" t="s">
        <v>508</v>
      </c>
      <c r="C20" s="679">
        <v>2.5449999999999999</v>
      </c>
      <c r="D20" s="679">
        <v>2.1960000000000002</v>
      </c>
      <c r="E20" s="679">
        <v>2.0510000000000002</v>
      </c>
      <c r="F20" s="679">
        <v>1.948</v>
      </c>
      <c r="G20" s="679">
        <v>1.772</v>
      </c>
      <c r="H20" s="679">
        <v>1.782</v>
      </c>
      <c r="I20" s="679">
        <v>1.833</v>
      </c>
      <c r="J20" s="679">
        <v>1.486</v>
      </c>
      <c r="K20" s="679">
        <v>1.5404</v>
      </c>
      <c r="L20" s="679">
        <v>1.6656</v>
      </c>
      <c r="M20" s="679">
        <v>1.7112000000000001</v>
      </c>
      <c r="N20" s="679">
        <v>2.1970999999999998</v>
      </c>
      <c r="O20" s="679">
        <v>2.1795</v>
      </c>
      <c r="P20" s="679">
        <v>2.1606999999999998</v>
      </c>
      <c r="Q20" s="679">
        <v>2.0569999999999999</v>
      </c>
      <c r="R20" s="679">
        <v>2.0825</v>
      </c>
      <c r="S20" s="679">
        <v>2.0651000000000002</v>
      </c>
      <c r="T20" s="679">
        <v>1.9907999999999999</v>
      </c>
      <c r="U20" s="679">
        <v>1.7349000000000001</v>
      </c>
      <c r="V20" s="679">
        <v>1.6571</v>
      </c>
      <c r="W20" s="679"/>
      <c r="X20" s="679"/>
    </row>
    <row r="21" spans="1:25" ht="15" thickBot="1">
      <c r="A21" s="672" t="s">
        <v>389</v>
      </c>
      <c r="B21" s="672"/>
      <c r="C21" s="671"/>
      <c r="D21" s="671"/>
      <c r="E21" s="671"/>
      <c r="F21" s="671"/>
      <c r="G21" s="671"/>
      <c r="H21" s="671"/>
      <c r="I21" s="671"/>
      <c r="J21" s="671"/>
      <c r="K21" s="671"/>
      <c r="L21" s="671"/>
      <c r="M21" s="671"/>
      <c r="N21" s="671"/>
      <c r="O21" s="671"/>
      <c r="P21" s="671"/>
      <c r="Q21" s="671">
        <v>2.0000000000000001E-4</v>
      </c>
      <c r="R21" s="671">
        <v>2.9999999999999997E-4</v>
      </c>
      <c r="S21" s="671">
        <v>2.9999999999999997E-4</v>
      </c>
      <c r="T21" s="671">
        <v>2.9999999999999997E-4</v>
      </c>
      <c r="U21" s="678">
        <f>0.0001</f>
        <v>1E-4</v>
      </c>
      <c r="V21" s="678">
        <f>0.1/1000</f>
        <v>1E-4</v>
      </c>
      <c r="W21" s="851"/>
      <c r="X21" s="851"/>
    </row>
    <row r="22" spans="1:25" ht="15" thickBot="1">
      <c r="A22" s="666" t="s">
        <v>10</v>
      </c>
      <c r="B22" s="666"/>
      <c r="C22" s="665">
        <v>56.337000000000003</v>
      </c>
      <c r="D22" s="665">
        <v>64.646000000000001</v>
      </c>
      <c r="E22" s="665">
        <v>68.349999999999994</v>
      </c>
      <c r="F22" s="665">
        <v>72.239999999999995</v>
      </c>
      <c r="G22" s="665">
        <v>76.019000000000005</v>
      </c>
      <c r="H22" s="665">
        <v>76.67</v>
      </c>
      <c r="I22" s="665">
        <v>78.340999999999994</v>
      </c>
      <c r="J22" s="665">
        <v>79.710999999999999</v>
      </c>
      <c r="K22" s="665">
        <f t="shared" ref="K22:U22" si="5">(K6+K15)</f>
        <v>80.574100000000001</v>
      </c>
      <c r="L22" s="665">
        <f t="shared" si="5"/>
        <v>78.500799999999998</v>
      </c>
      <c r="M22" s="665">
        <f t="shared" si="5"/>
        <v>74.965599999999995</v>
      </c>
      <c r="N22" s="665">
        <f t="shared" si="5"/>
        <v>68.59859999999999</v>
      </c>
      <c r="O22" s="665">
        <f t="shared" si="5"/>
        <v>64.915199999999999</v>
      </c>
      <c r="P22" s="665">
        <f t="shared" si="5"/>
        <v>64.045099999999991</v>
      </c>
      <c r="Q22" s="665">
        <f t="shared" si="5"/>
        <v>64.020199999999988</v>
      </c>
      <c r="R22" s="665">
        <f t="shared" si="5"/>
        <v>63.948999999999991</v>
      </c>
      <c r="S22" s="665">
        <f t="shared" si="5"/>
        <v>62.653900000000007</v>
      </c>
      <c r="T22" s="665">
        <f t="shared" si="5"/>
        <v>61.932500000000005</v>
      </c>
      <c r="U22" s="665">
        <f t="shared" si="5"/>
        <v>62.392800000000008</v>
      </c>
      <c r="V22" s="665">
        <f t="shared" ref="V22" si="6">(V6+V15)</f>
        <v>63.211500000000001</v>
      </c>
      <c r="W22" s="850"/>
      <c r="X22" s="850"/>
    </row>
    <row r="23" spans="1:25">
      <c r="A23" s="677"/>
      <c r="B23" s="677" t="s">
        <v>507</v>
      </c>
      <c r="C23" s="676">
        <f t="shared" ref="C23:U23" si="7">C12+C13</f>
        <v>7.5999999999999998E-2</v>
      </c>
      <c r="D23" s="676">
        <f t="shared" si="7"/>
        <v>0.24</v>
      </c>
      <c r="E23" s="676">
        <f t="shared" si="7"/>
        <v>0.31599999999999995</v>
      </c>
      <c r="F23" s="676">
        <f t="shared" si="7"/>
        <v>0.32499999999999996</v>
      </c>
      <c r="G23" s="676">
        <f t="shared" si="7"/>
        <v>0.32599999999999996</v>
      </c>
      <c r="H23" s="676">
        <f t="shared" si="7"/>
        <v>0.33199999999999996</v>
      </c>
      <c r="I23" s="676">
        <f t="shared" si="7"/>
        <v>0.32999999999999996</v>
      </c>
      <c r="J23" s="676">
        <f t="shared" si="7"/>
        <v>0.32199999999999995</v>
      </c>
      <c r="K23" s="676">
        <f t="shared" si="7"/>
        <v>0.32340000000000002</v>
      </c>
      <c r="L23" s="676">
        <f t="shared" si="7"/>
        <v>0.3296</v>
      </c>
      <c r="M23" s="676">
        <f t="shared" si="7"/>
        <v>0.34470000000000001</v>
      </c>
      <c r="N23" s="676">
        <f t="shared" si="7"/>
        <v>0.33310000000000001</v>
      </c>
      <c r="O23" s="676">
        <f t="shared" si="7"/>
        <v>0.34589999999999999</v>
      </c>
      <c r="P23" s="676">
        <f t="shared" si="7"/>
        <v>0.35220000000000001</v>
      </c>
      <c r="Q23" s="676">
        <f t="shared" si="7"/>
        <v>0.35339999999999999</v>
      </c>
      <c r="R23" s="676">
        <f t="shared" si="7"/>
        <v>0.37170000000000003</v>
      </c>
      <c r="S23" s="676">
        <f t="shared" si="7"/>
        <v>0.30559999999999998</v>
      </c>
      <c r="T23" s="676">
        <f t="shared" si="7"/>
        <v>0.30940000000000001</v>
      </c>
      <c r="U23" s="676">
        <f t="shared" si="7"/>
        <v>0.31059999999999999</v>
      </c>
      <c r="V23" s="676">
        <f t="shared" ref="V23" si="8">V12+V13</f>
        <v>0.30830000000000002</v>
      </c>
      <c r="W23" s="676"/>
      <c r="X23" s="676"/>
    </row>
    <row r="24" spans="1:25">
      <c r="A24" s="675" t="s">
        <v>506</v>
      </c>
      <c r="B24" s="68"/>
      <c r="C24" s="286">
        <f t="shared" ref="C24:U24" si="9">C25/C22</f>
        <v>0.14102632373040808</v>
      </c>
      <c r="D24" s="286">
        <f t="shared" si="9"/>
        <v>0.39195000464065838</v>
      </c>
      <c r="E24" s="286">
        <f t="shared" si="9"/>
        <v>0.43117776152158011</v>
      </c>
      <c r="F24" s="286">
        <f t="shared" si="9"/>
        <v>0.46982281284606864</v>
      </c>
      <c r="G24" s="286">
        <f t="shared" si="9"/>
        <v>0.50133519251766001</v>
      </c>
      <c r="H24" s="286">
        <f t="shared" si="9"/>
        <v>0.52992043824181567</v>
      </c>
      <c r="I24" s="286">
        <f t="shared" si="9"/>
        <v>0.53657727116069498</v>
      </c>
      <c r="J24" s="286">
        <f t="shared" si="9"/>
        <v>0.54451706790781695</v>
      </c>
      <c r="K24" s="286">
        <f t="shared" si="9"/>
        <v>0.53907769370058112</v>
      </c>
      <c r="L24" s="286">
        <f t="shared" si="9"/>
        <v>0.53696268063510189</v>
      </c>
      <c r="M24" s="286">
        <f t="shared" si="9"/>
        <v>0.56011957484499564</v>
      </c>
      <c r="N24" s="286">
        <f t="shared" si="9"/>
        <v>0.6096392637750625</v>
      </c>
      <c r="O24" s="286">
        <f t="shared" si="9"/>
        <v>0.62911305826678499</v>
      </c>
      <c r="P24" s="286">
        <f t="shared" si="9"/>
        <v>0.63562395874157429</v>
      </c>
      <c r="Q24" s="286">
        <f t="shared" si="9"/>
        <v>0.63590241829922445</v>
      </c>
      <c r="R24" s="286">
        <f t="shared" si="9"/>
        <v>0.63419130869911966</v>
      </c>
      <c r="S24" s="286">
        <f t="shared" si="9"/>
        <v>0.65096506362732398</v>
      </c>
      <c r="T24" s="286">
        <f t="shared" si="9"/>
        <v>0.64713195818027691</v>
      </c>
      <c r="U24" s="286">
        <f t="shared" si="9"/>
        <v>0.66439557128386606</v>
      </c>
      <c r="V24" s="286">
        <f t="shared" ref="V24" si="10">V25/V22</f>
        <v>0.66049373927212607</v>
      </c>
      <c r="W24" s="286"/>
      <c r="X24" s="286"/>
    </row>
    <row r="25" spans="1:25">
      <c r="A25" s="68" t="s">
        <v>505</v>
      </c>
      <c r="B25" s="68"/>
      <c r="C25" s="304">
        <f t="shared" ref="C25:U25" si="11">C10+C18</f>
        <v>7.9450000000000003</v>
      </c>
      <c r="D25" s="304">
        <f t="shared" si="11"/>
        <v>25.338000000000001</v>
      </c>
      <c r="E25" s="304">
        <f t="shared" si="11"/>
        <v>29.470999999999997</v>
      </c>
      <c r="F25" s="304">
        <f t="shared" si="11"/>
        <v>33.94</v>
      </c>
      <c r="G25" s="304">
        <f t="shared" si="11"/>
        <v>38.110999999999997</v>
      </c>
      <c r="H25" s="304">
        <f t="shared" si="11"/>
        <v>40.629000000000005</v>
      </c>
      <c r="I25" s="304">
        <f t="shared" si="11"/>
        <v>42.036000000000001</v>
      </c>
      <c r="J25" s="323">
        <f t="shared" si="11"/>
        <v>43.403999999999996</v>
      </c>
      <c r="K25" s="323">
        <f t="shared" si="11"/>
        <v>43.435699999999997</v>
      </c>
      <c r="L25" s="304">
        <f t="shared" si="11"/>
        <v>42.152000000000001</v>
      </c>
      <c r="M25" s="304">
        <f t="shared" si="11"/>
        <v>41.989699999999999</v>
      </c>
      <c r="N25" s="304">
        <f t="shared" si="11"/>
        <v>41.820399999999999</v>
      </c>
      <c r="O25" s="304">
        <f t="shared" si="11"/>
        <v>40.838999999999999</v>
      </c>
      <c r="P25" s="304">
        <f t="shared" si="11"/>
        <v>40.708599999999997</v>
      </c>
      <c r="Q25" s="304">
        <f t="shared" si="11"/>
        <v>40.710599999999999</v>
      </c>
      <c r="R25" s="304">
        <f t="shared" si="11"/>
        <v>40.555899999999994</v>
      </c>
      <c r="S25" s="304">
        <f t="shared" si="11"/>
        <v>40.785499999999999</v>
      </c>
      <c r="T25" s="304">
        <f t="shared" si="11"/>
        <v>40.078500000000005</v>
      </c>
      <c r="U25" s="304">
        <f t="shared" si="11"/>
        <v>41.453500000000005</v>
      </c>
      <c r="V25" s="304">
        <f t="shared" ref="V25" si="12">V10+V18</f>
        <v>41.750799999999998</v>
      </c>
      <c r="W25" s="304"/>
      <c r="X25" s="304"/>
    </row>
    <row r="26" spans="1:25">
      <c r="A26" s="68" t="s">
        <v>504</v>
      </c>
      <c r="B26" s="68"/>
      <c r="C26" s="304">
        <f t="shared" ref="C26:U26" si="13">C35+C41</f>
        <v>43.844999999999999</v>
      </c>
      <c r="D26" s="304">
        <f t="shared" si="13"/>
        <v>131.374</v>
      </c>
      <c r="E26" s="304">
        <f t="shared" si="13"/>
        <v>147.30450000000002</v>
      </c>
      <c r="F26" s="304">
        <f t="shared" si="13"/>
        <v>166.17599999999999</v>
      </c>
      <c r="G26" s="304">
        <f t="shared" si="13"/>
        <v>171.9622</v>
      </c>
      <c r="H26" s="304">
        <f t="shared" si="13"/>
        <v>149.6318</v>
      </c>
      <c r="I26" s="304">
        <f t="shared" si="13"/>
        <v>156.8261</v>
      </c>
      <c r="J26" s="304">
        <f t="shared" si="13"/>
        <v>148.92230000000001</v>
      </c>
      <c r="K26" s="304">
        <f t="shared" si="13"/>
        <v>134.64750000000001</v>
      </c>
      <c r="L26" s="304">
        <f t="shared" si="13"/>
        <v>109.61437999999998</v>
      </c>
      <c r="M26" s="304">
        <f t="shared" si="13"/>
        <v>92.3</v>
      </c>
      <c r="N26" s="304">
        <f t="shared" si="13"/>
        <v>105.47709999999999</v>
      </c>
      <c r="O26" s="304">
        <f t="shared" si="13"/>
        <v>124.07040000000001</v>
      </c>
      <c r="P26" s="304">
        <f t="shared" si="13"/>
        <v>135.9898</v>
      </c>
      <c r="Q26" s="304">
        <f t="shared" si="13"/>
        <v>124.10429999999999</v>
      </c>
      <c r="R26" s="304">
        <f t="shared" si="13"/>
        <v>134.29409999999999</v>
      </c>
      <c r="S26" s="304">
        <f t="shared" si="13"/>
        <v>125.50803999999999</v>
      </c>
      <c r="T26" s="304">
        <f t="shared" si="13"/>
        <v>128.92959999999999</v>
      </c>
      <c r="U26" s="304">
        <f t="shared" si="13"/>
        <v>129.416</v>
      </c>
      <c r="V26" s="304">
        <f t="shared" ref="V26" si="14">V35+V41</f>
        <v>108.31309999999999</v>
      </c>
      <c r="W26" s="304"/>
      <c r="X26" s="304"/>
      <c r="Y26" s="56"/>
    </row>
    <row r="27" spans="1:25">
      <c r="A27" s="68" t="s">
        <v>503</v>
      </c>
      <c r="B27" s="68"/>
      <c r="C27" s="286">
        <f t="shared" ref="C27:U27" si="15">(C35+C41)/C45</f>
        <v>0.19959575543203636</v>
      </c>
      <c r="D27" s="286">
        <f t="shared" si="15"/>
        <v>0.52141436832475385</v>
      </c>
      <c r="E27" s="286">
        <f t="shared" si="15"/>
        <v>0.56408831675903837</v>
      </c>
      <c r="F27" s="286">
        <f t="shared" si="15"/>
        <v>0.62768774710275721</v>
      </c>
      <c r="G27" s="286">
        <f t="shared" si="15"/>
        <v>0.66034642783495845</v>
      </c>
      <c r="H27" s="286">
        <f t="shared" si="15"/>
        <v>0.66198333359877826</v>
      </c>
      <c r="I27" s="286">
        <f t="shared" si="15"/>
        <v>0.68045855621006002</v>
      </c>
      <c r="J27" s="286">
        <f t="shared" si="15"/>
        <v>0.65402768463633998</v>
      </c>
      <c r="K27" s="286">
        <f t="shared" si="15"/>
        <v>0.62103772649387379</v>
      </c>
      <c r="L27" s="286">
        <f t="shared" si="15"/>
        <v>0.57021173928595137</v>
      </c>
      <c r="M27" s="286">
        <f t="shared" si="15"/>
        <v>0.52589566070556626</v>
      </c>
      <c r="N27" s="286">
        <f t="shared" si="15"/>
        <v>0.55091393221712914</v>
      </c>
      <c r="O27" s="286">
        <f t="shared" si="15"/>
        <v>0.62442952479692393</v>
      </c>
      <c r="P27" s="286">
        <f t="shared" si="15"/>
        <v>0.6512188522843454</v>
      </c>
      <c r="Q27" s="286">
        <f t="shared" si="15"/>
        <v>0.64594324224166277</v>
      </c>
      <c r="R27" s="286">
        <f t="shared" si="15"/>
        <v>0.68839221318849275</v>
      </c>
      <c r="S27" s="286">
        <f t="shared" si="15"/>
        <v>0.69416336162831116</v>
      </c>
      <c r="T27" s="286">
        <f t="shared" si="15"/>
        <v>0.68169033714564009</v>
      </c>
      <c r="U27" s="286">
        <f t="shared" si="15"/>
        <v>0.65192050978515481</v>
      </c>
      <c r="V27" s="286">
        <f t="shared" ref="V27" si="16">(V35+V41)/V45</f>
        <v>0.66870546747230886</v>
      </c>
      <c r="W27" s="286"/>
      <c r="X27" s="286"/>
    </row>
    <row r="28" spans="1:25" ht="15" thickBot="1">
      <c r="A28" s="674" t="s">
        <v>95</v>
      </c>
    </row>
    <row r="29" spans="1:25">
      <c r="A29" s="909" t="s">
        <v>16</v>
      </c>
      <c r="B29" s="669"/>
      <c r="C29" s="668">
        <v>2000</v>
      </c>
      <c r="D29" s="668">
        <v>2005</v>
      </c>
      <c r="E29" s="668">
        <v>2006</v>
      </c>
      <c r="F29" s="668">
        <v>2007</v>
      </c>
      <c r="G29" s="668">
        <v>2008</v>
      </c>
      <c r="H29" s="668">
        <v>2009</v>
      </c>
      <c r="I29" s="668">
        <v>2010</v>
      </c>
      <c r="J29" s="668">
        <v>2011</v>
      </c>
      <c r="K29" s="668">
        <v>2012</v>
      </c>
      <c r="L29" s="668">
        <v>2013</v>
      </c>
      <c r="M29" s="668">
        <v>2014</v>
      </c>
      <c r="N29" s="668">
        <v>2015</v>
      </c>
      <c r="O29" s="668">
        <v>2016</v>
      </c>
      <c r="P29" s="668">
        <v>2017</v>
      </c>
      <c r="Q29" s="668">
        <v>2018</v>
      </c>
      <c r="R29" s="668">
        <v>2019</v>
      </c>
      <c r="S29" s="668">
        <v>2020</v>
      </c>
      <c r="T29" s="668">
        <v>2021</v>
      </c>
      <c r="U29" s="668">
        <v>2022</v>
      </c>
      <c r="V29" s="668">
        <v>2023</v>
      </c>
      <c r="W29" s="848"/>
      <c r="X29" s="848"/>
    </row>
    <row r="30" spans="1:25" ht="15" thickBot="1">
      <c r="A30" s="910"/>
      <c r="B30" s="666"/>
      <c r="C30" s="667" t="s">
        <v>129</v>
      </c>
      <c r="D30" s="667"/>
      <c r="E30" s="667"/>
      <c r="F30" s="667"/>
      <c r="G30" s="667"/>
      <c r="H30" s="667"/>
      <c r="I30" s="667"/>
      <c r="J30" s="667"/>
      <c r="K30" s="667"/>
      <c r="L30" s="667"/>
      <c r="M30" s="667"/>
      <c r="N30" s="667"/>
      <c r="O30" s="667"/>
      <c r="P30" s="667"/>
      <c r="Q30" s="667"/>
      <c r="R30" s="667"/>
      <c r="S30" s="667"/>
      <c r="T30" s="667"/>
      <c r="U30" s="667"/>
      <c r="V30" s="667"/>
      <c r="W30" s="849"/>
      <c r="X30" s="849"/>
    </row>
    <row r="31" spans="1:25" ht="15" thickBot="1">
      <c r="A31" s="666" t="s">
        <v>17</v>
      </c>
      <c r="B31" s="666"/>
      <c r="C31" s="665">
        <v>159.56899999999999</v>
      </c>
      <c r="D31" s="665">
        <v>157.53</v>
      </c>
      <c r="E31" s="665">
        <f t="shared" ref="E31:Q31" si="17">SUM(E32:E36)</f>
        <v>159.49340000000001</v>
      </c>
      <c r="F31" s="665">
        <f t="shared" si="17"/>
        <v>157.09270000000001</v>
      </c>
      <c r="G31" s="665">
        <f t="shared" si="17"/>
        <v>157.48740000000001</v>
      </c>
      <c r="H31" s="665">
        <f t="shared" si="17"/>
        <v>125.5963</v>
      </c>
      <c r="I31" s="665">
        <f t="shared" si="17"/>
        <v>119.00319999999999</v>
      </c>
      <c r="J31" s="665">
        <f t="shared" si="17"/>
        <v>126.1915</v>
      </c>
      <c r="K31" s="665">
        <f t="shared" si="17"/>
        <v>115.9717</v>
      </c>
      <c r="L31" s="665">
        <f t="shared" si="17"/>
        <v>100.94168000000001</v>
      </c>
      <c r="M31" s="665">
        <f t="shared" si="17"/>
        <v>90.359399999999994</v>
      </c>
      <c r="N31" s="665">
        <f t="shared" si="17"/>
        <v>95.583899999999986</v>
      </c>
      <c r="O31" s="665">
        <f t="shared" si="17"/>
        <v>93.5672</v>
      </c>
      <c r="P31" s="665">
        <f t="shared" si="17"/>
        <v>98.695400000000006</v>
      </c>
      <c r="Q31" s="665">
        <f t="shared" si="17"/>
        <v>87.208100000000002</v>
      </c>
      <c r="R31" s="665">
        <f>SUM(R32:R37)</f>
        <v>87.823300000000003</v>
      </c>
      <c r="S31" s="665">
        <f>SUM(S32:S37)</f>
        <v>80.352500000000006</v>
      </c>
      <c r="T31" s="665">
        <f>SUM(T32:T37)</f>
        <v>87.54301000000001</v>
      </c>
      <c r="U31" s="665">
        <f>SUM(U32:U37)</f>
        <v>93.073499999999996</v>
      </c>
      <c r="V31" s="665">
        <f>SUM(V32:V37)</f>
        <v>65.669899999999998</v>
      </c>
      <c r="W31" s="850"/>
      <c r="X31" s="850"/>
    </row>
    <row r="32" spans="1:25">
      <c r="A32" s="663" t="s">
        <v>18</v>
      </c>
      <c r="B32" s="663"/>
      <c r="C32" s="662">
        <v>1.1950000000000001</v>
      </c>
      <c r="D32" s="662">
        <v>1.603</v>
      </c>
      <c r="E32" s="662">
        <v>1.7178</v>
      </c>
      <c r="F32" s="662">
        <v>1.73</v>
      </c>
      <c r="G32" s="662">
        <v>1.8859000000000001</v>
      </c>
      <c r="H32" s="662">
        <v>2.4624999999999999</v>
      </c>
      <c r="I32" s="662">
        <v>3.0470999999999999</v>
      </c>
      <c r="J32" s="662">
        <v>3.6740999999999997</v>
      </c>
      <c r="K32" s="662">
        <v>3.9956</v>
      </c>
      <c r="L32" s="662">
        <v>5.5350000000000001</v>
      </c>
      <c r="M32" s="662">
        <v>5.5099</v>
      </c>
      <c r="N32" s="662">
        <v>4.9702000000000002</v>
      </c>
      <c r="O32" s="662">
        <v>4.9139999999999997</v>
      </c>
      <c r="P32" s="662">
        <v>4.7648999999999999</v>
      </c>
      <c r="Q32" s="662">
        <v>4.7362000000000002</v>
      </c>
      <c r="R32" s="662">
        <v>4.7519</v>
      </c>
      <c r="S32" s="662">
        <v>4.6262400000000001</v>
      </c>
      <c r="T32" s="662">
        <v>4.1310000000000002</v>
      </c>
      <c r="U32" s="662">
        <f>'6-y'!AA7</f>
        <v>3.7233000000000001</v>
      </c>
      <c r="V32" s="662">
        <f>'6-y'!AB7</f>
        <v>3.2866</v>
      </c>
      <c r="W32" s="662"/>
      <c r="X32" s="662"/>
      <c r="Y32" s="673"/>
    </row>
    <row r="33" spans="1:25">
      <c r="A33" s="663" t="s">
        <v>19</v>
      </c>
      <c r="B33" s="663"/>
      <c r="C33" s="662">
        <v>12.384</v>
      </c>
      <c r="D33" s="662">
        <v>0.85599999999999998</v>
      </c>
      <c r="E33" s="662">
        <v>0.68829999999999991</v>
      </c>
      <c r="F33" s="662">
        <v>0.56579999999999997</v>
      </c>
      <c r="G33" s="662">
        <v>0.62220000000000009</v>
      </c>
      <c r="H33" s="662">
        <v>0.50060000000000004</v>
      </c>
      <c r="I33" s="662">
        <v>0.35680000000000001</v>
      </c>
      <c r="J33" s="662">
        <v>0.25259999999999999</v>
      </c>
      <c r="K33" s="662">
        <v>0.1915</v>
      </c>
      <c r="L33" s="662">
        <v>2.4026999999999998</v>
      </c>
      <c r="M33" s="662">
        <v>2.5301999999999998</v>
      </c>
      <c r="N33" s="662">
        <v>3.5531999999999999</v>
      </c>
      <c r="O33" s="662">
        <v>0.42180000000000001</v>
      </c>
      <c r="P33" s="662">
        <v>0.59279999999999999</v>
      </c>
      <c r="Q33" s="662">
        <v>0.29899999999999999</v>
      </c>
      <c r="R33" s="662">
        <v>1.2664</v>
      </c>
      <c r="S33" s="662">
        <v>1.26535</v>
      </c>
      <c r="T33" s="662">
        <v>0.6724</v>
      </c>
      <c r="U33" s="662">
        <f>'6-y'!AA8</f>
        <v>0.23269999999999999</v>
      </c>
      <c r="V33" s="662">
        <f>'6-y'!AB8</f>
        <v>0.25309999999999999</v>
      </c>
      <c r="W33" s="662"/>
      <c r="X33" s="662"/>
      <c r="Y33" s="673"/>
    </row>
    <row r="34" spans="1:25">
      <c r="A34" s="663" t="s">
        <v>20</v>
      </c>
      <c r="B34" s="663"/>
      <c r="C34" s="662">
        <v>139.11199999999999</v>
      </c>
      <c r="D34" s="662">
        <v>78.251000000000005</v>
      </c>
      <c r="E34" s="662">
        <v>73.638600000000011</v>
      </c>
      <c r="F34" s="662">
        <v>64.773099999999999</v>
      </c>
      <c r="G34" s="662">
        <v>62.712699999999998</v>
      </c>
      <c r="H34" s="662">
        <v>55.952500000000001</v>
      </c>
      <c r="I34" s="662">
        <v>52.119199999999999</v>
      </c>
      <c r="J34" s="662">
        <v>55.920400000000001</v>
      </c>
      <c r="K34" s="662">
        <v>59.2303</v>
      </c>
      <c r="L34" s="662">
        <v>54.193640000000002</v>
      </c>
      <c r="M34" s="662">
        <v>52.548699999999997</v>
      </c>
      <c r="N34" s="662">
        <v>51.004199999999997</v>
      </c>
      <c r="O34" s="662">
        <v>42.017600000000002</v>
      </c>
      <c r="P34" s="662">
        <v>38.959899999999998</v>
      </c>
      <c r="Q34" s="662">
        <v>33.856099999999998</v>
      </c>
      <c r="R34" s="662">
        <v>24.166</v>
      </c>
      <c r="S34" s="662">
        <v>18.802400000000002</v>
      </c>
      <c r="T34" s="662">
        <v>20.761500000000002</v>
      </c>
      <c r="U34" s="662">
        <f>'6-y'!AA9</f>
        <v>32.659599999999998</v>
      </c>
      <c r="V34" s="662">
        <f>'6-y'!AB9</f>
        <v>19.094200000000001</v>
      </c>
      <c r="W34" s="662"/>
      <c r="X34" s="662"/>
      <c r="Y34" s="673"/>
    </row>
    <row r="35" spans="1:25">
      <c r="A35" s="663" t="s">
        <v>21</v>
      </c>
      <c r="B35" s="663"/>
      <c r="C35" s="662">
        <v>6.8780000000000001</v>
      </c>
      <c r="D35" s="662">
        <v>58.701999999999998</v>
      </c>
      <c r="E35" s="662">
        <v>65.25030000000001</v>
      </c>
      <c r="F35" s="662">
        <v>78.036500000000004</v>
      </c>
      <c r="G35" s="662">
        <v>86.795400000000001</v>
      </c>
      <c r="H35" s="662">
        <v>64.558400000000006</v>
      </c>
      <c r="I35" s="662">
        <v>62.568300000000001</v>
      </c>
      <c r="J35" s="662">
        <v>65.9846</v>
      </c>
      <c r="K35" s="662">
        <v>52.214199999999998</v>
      </c>
      <c r="L35" s="662">
        <v>38.752839999999999</v>
      </c>
      <c r="M35" s="662">
        <v>29.766999999999999</v>
      </c>
      <c r="N35" s="662">
        <v>36.052599999999998</v>
      </c>
      <c r="O35" s="662">
        <v>46.213799999999999</v>
      </c>
      <c r="P35" s="662">
        <v>54.377800000000001</v>
      </c>
      <c r="Q35" s="662">
        <v>48.316800000000001</v>
      </c>
      <c r="R35" s="662">
        <v>57.6389</v>
      </c>
      <c r="S35" s="662">
        <v>55.6584</v>
      </c>
      <c r="T35" s="662">
        <v>61.978000000000002</v>
      </c>
      <c r="U35" s="662">
        <f>'6-y'!AA10</f>
        <v>56.457799999999999</v>
      </c>
      <c r="V35" s="662">
        <f>'6-y'!AB10</f>
        <v>43.032299999999999</v>
      </c>
      <c r="W35" s="662"/>
      <c r="X35" s="662"/>
      <c r="Y35" s="673"/>
    </row>
    <row r="36" spans="1:25">
      <c r="A36" s="663" t="s">
        <v>23</v>
      </c>
      <c r="B36" s="663"/>
      <c r="C36" s="664" t="s">
        <v>22</v>
      </c>
      <c r="D36" s="662">
        <v>18.119</v>
      </c>
      <c r="E36" s="662">
        <v>18.198400000000003</v>
      </c>
      <c r="F36" s="662">
        <v>11.987299999999999</v>
      </c>
      <c r="G36" s="662">
        <v>5.4711999999999996</v>
      </c>
      <c r="H36" s="662">
        <v>2.1223000000000001</v>
      </c>
      <c r="I36" s="662">
        <v>0.91179999999999994</v>
      </c>
      <c r="J36" s="662">
        <v>0.35980000000000001</v>
      </c>
      <c r="K36" s="662">
        <v>0.34010000000000001</v>
      </c>
      <c r="L36" s="662">
        <v>5.7500000000000002E-2</v>
      </c>
      <c r="M36" s="662">
        <v>3.5999999999999999E-3</v>
      </c>
      <c r="N36" s="662">
        <v>3.7000000000000002E-3</v>
      </c>
      <c r="O36" s="662">
        <v>0</v>
      </c>
      <c r="P36" s="662"/>
      <c r="Q36" s="662"/>
      <c r="R36" s="662"/>
      <c r="S36" s="662"/>
      <c r="T36" s="662"/>
      <c r="U36" s="662"/>
      <c r="V36" s="662"/>
      <c r="W36" s="662"/>
      <c r="X36" s="662"/>
    </row>
    <row r="37" spans="1:25" ht="15" thickBot="1">
      <c r="A37" s="663" t="s">
        <v>387</v>
      </c>
      <c r="B37" s="663"/>
      <c r="C37" s="664"/>
      <c r="D37" s="662"/>
      <c r="E37" s="662"/>
      <c r="F37" s="662"/>
      <c r="G37" s="662"/>
      <c r="H37" s="662"/>
      <c r="I37" s="662"/>
      <c r="J37" s="662"/>
      <c r="K37" s="662"/>
      <c r="L37" s="662"/>
      <c r="M37" s="662"/>
      <c r="N37" s="662"/>
      <c r="O37" s="662"/>
      <c r="P37" s="662"/>
      <c r="Q37" s="662"/>
      <c r="R37" s="662">
        <v>1E-4</v>
      </c>
      <c r="S37" s="662">
        <v>1.1E-4</v>
      </c>
      <c r="T37" s="662">
        <v>1.1E-4</v>
      </c>
      <c r="U37" s="662">
        <v>1E-4</v>
      </c>
      <c r="V37" s="662">
        <f>'6-y'!AB12</f>
        <v>3.7000000000000002E-3</v>
      </c>
      <c r="W37" s="662"/>
      <c r="X37" s="662"/>
    </row>
    <row r="38" spans="1:25" ht="15" thickBot="1">
      <c r="A38" s="661" t="s">
        <v>24</v>
      </c>
      <c r="B38" s="661"/>
      <c r="C38" s="660">
        <v>60.1</v>
      </c>
      <c r="D38" s="660">
        <v>94.427000000000007</v>
      </c>
      <c r="E38" s="660">
        <f t="shared" ref="E38:S38" si="18">SUM(E39:E43)</f>
        <v>101.6439</v>
      </c>
      <c r="F38" s="660">
        <f t="shared" si="18"/>
        <v>107.6504</v>
      </c>
      <c r="G38" s="660">
        <f t="shared" si="18"/>
        <v>102.9247</v>
      </c>
      <c r="H38" s="660">
        <f t="shared" si="18"/>
        <v>100.43929999999999</v>
      </c>
      <c r="I38" s="660">
        <f t="shared" si="18"/>
        <v>111.468</v>
      </c>
      <c r="J38" s="660">
        <f t="shared" si="18"/>
        <v>101.50879999999999</v>
      </c>
      <c r="K38" s="660">
        <f t="shared" si="18"/>
        <v>100.83880000000001</v>
      </c>
      <c r="L38" s="660">
        <f t="shared" si="18"/>
        <v>91.292839999999984</v>
      </c>
      <c r="M38" s="660">
        <f t="shared" si="18"/>
        <v>85.150700000000001</v>
      </c>
      <c r="N38" s="660">
        <f t="shared" si="18"/>
        <v>95.874499999999998</v>
      </c>
      <c r="O38" s="660">
        <f t="shared" si="18"/>
        <v>105.1268</v>
      </c>
      <c r="P38" s="660">
        <f t="shared" si="18"/>
        <v>110.12809999999999</v>
      </c>
      <c r="Q38" s="660">
        <f t="shared" si="18"/>
        <v>104.9207</v>
      </c>
      <c r="R38" s="660">
        <f t="shared" si="18"/>
        <v>107.2604</v>
      </c>
      <c r="S38" s="660">
        <f t="shared" si="18"/>
        <v>100.45226</v>
      </c>
      <c r="T38" s="660">
        <f>SUM(T39:T44)</f>
        <v>101.58919999999999</v>
      </c>
      <c r="U38" s="660">
        <f>SUM(U39:U44)</f>
        <v>105.4415</v>
      </c>
      <c r="V38" s="660">
        <f>SUM(V39:V44)</f>
        <v>96.304400000000001</v>
      </c>
      <c r="W38" s="850"/>
      <c r="X38" s="850"/>
    </row>
    <row r="39" spans="1:25">
      <c r="A39" s="663" t="s">
        <v>25</v>
      </c>
      <c r="B39" s="663"/>
      <c r="C39" s="662">
        <v>1.361</v>
      </c>
      <c r="D39" s="662">
        <v>2.2589999999999999</v>
      </c>
      <c r="E39" s="662">
        <v>2.5605000000000002</v>
      </c>
      <c r="F39" s="662">
        <v>2.7311999999999999</v>
      </c>
      <c r="G39" s="662">
        <v>3.0124</v>
      </c>
      <c r="H39" s="662">
        <v>3.8353999999999999</v>
      </c>
      <c r="I39" s="662">
        <v>5.5973000000000006</v>
      </c>
      <c r="J39" s="662">
        <v>7.0137</v>
      </c>
      <c r="K39" s="662">
        <v>8.226799999999999</v>
      </c>
      <c r="L39" s="662">
        <v>10.6317</v>
      </c>
      <c r="M39" s="662">
        <v>12.433299999999999</v>
      </c>
      <c r="N39" s="662">
        <v>14.3512</v>
      </c>
      <c r="O39" s="662">
        <v>15.2064</v>
      </c>
      <c r="P39" s="662">
        <v>16.270800000000001</v>
      </c>
      <c r="Q39" s="662">
        <v>17.142099999999999</v>
      </c>
      <c r="R39" s="662">
        <v>18.1188</v>
      </c>
      <c r="S39" s="662">
        <v>18.452200000000001</v>
      </c>
      <c r="T39" s="662">
        <v>19.538599999999999</v>
      </c>
      <c r="U39" s="662">
        <f>'6-y'!AA14</f>
        <v>18.660799999999998</v>
      </c>
      <c r="V39" s="662">
        <f>'6-y'!AB14</f>
        <v>18.9758</v>
      </c>
      <c r="W39" s="662"/>
      <c r="X39" s="662"/>
      <c r="Y39" s="673"/>
    </row>
    <row r="40" spans="1:25">
      <c r="A40" s="663" t="s">
        <v>26</v>
      </c>
      <c r="B40" s="663"/>
      <c r="C40" s="664">
        <v>4.9619999999999997</v>
      </c>
      <c r="D40" s="662">
        <v>6.077</v>
      </c>
      <c r="E40" s="662">
        <v>5.3181000000000003</v>
      </c>
      <c r="F40" s="662">
        <v>6.0095000000000001</v>
      </c>
      <c r="G40" s="662">
        <v>5.3033999999999999</v>
      </c>
      <c r="H40" s="662">
        <v>3.827</v>
      </c>
      <c r="I40" s="662">
        <v>3.8369</v>
      </c>
      <c r="J40" s="662">
        <v>4.2231999999999994</v>
      </c>
      <c r="K40" s="662">
        <v>3.8921999999999999</v>
      </c>
      <c r="L40" s="662">
        <v>3.7936000000000001</v>
      </c>
      <c r="M40" s="662">
        <v>4.1523000000000003</v>
      </c>
      <c r="N40" s="662">
        <v>4.6656000000000004</v>
      </c>
      <c r="O40" s="662">
        <v>4.8830999999999998</v>
      </c>
      <c r="P40" s="662">
        <v>4.9763999999999999</v>
      </c>
      <c r="Q40" s="662">
        <v>4.9592999999999998</v>
      </c>
      <c r="R40" s="662">
        <v>5.2671000000000001</v>
      </c>
      <c r="S40" s="662">
        <v>4.9240600000000008</v>
      </c>
      <c r="T40" s="662">
        <v>8.0336999999999996</v>
      </c>
      <c r="U40" s="662">
        <f>'6-y'!AA15</f>
        <v>6.5659999999999998</v>
      </c>
      <c r="V40" s="662">
        <f>'6-y'!AB15</f>
        <v>5.4740000000000002</v>
      </c>
      <c r="W40" s="662"/>
      <c r="X40" s="662"/>
      <c r="Y40" s="673"/>
    </row>
    <row r="41" spans="1:25">
      <c r="A41" s="663" t="s">
        <v>27</v>
      </c>
      <c r="B41" s="663"/>
      <c r="C41" s="662">
        <v>36.966999999999999</v>
      </c>
      <c r="D41" s="662">
        <v>72.671999999999997</v>
      </c>
      <c r="E41" s="662">
        <v>82.054199999999994</v>
      </c>
      <c r="F41" s="662">
        <v>88.139499999999998</v>
      </c>
      <c r="G41" s="662">
        <v>85.166800000000009</v>
      </c>
      <c r="H41" s="662">
        <v>85.073399999999992</v>
      </c>
      <c r="I41" s="662">
        <v>94.257800000000003</v>
      </c>
      <c r="J41" s="662">
        <v>82.937699999999992</v>
      </c>
      <c r="K41" s="662">
        <v>82.433300000000003</v>
      </c>
      <c r="L41" s="662">
        <v>70.861539999999991</v>
      </c>
      <c r="M41" s="662">
        <v>62.533000000000001</v>
      </c>
      <c r="N41" s="662">
        <v>69.424499999999995</v>
      </c>
      <c r="O41" s="662">
        <v>77.8566</v>
      </c>
      <c r="P41" s="662">
        <v>81.611999999999995</v>
      </c>
      <c r="Q41" s="662">
        <v>75.787499999999994</v>
      </c>
      <c r="R41" s="662">
        <v>76.655199999999994</v>
      </c>
      <c r="S41" s="662">
        <v>69.849639999999994</v>
      </c>
      <c r="T41" s="662">
        <v>66.951599999999999</v>
      </c>
      <c r="U41" s="662">
        <f>'6-y'!AA16</f>
        <v>72.958200000000005</v>
      </c>
      <c r="V41" s="662">
        <f>'6-y'!AB16</f>
        <v>65.280799999999999</v>
      </c>
      <c r="W41" s="662"/>
      <c r="X41" s="662"/>
      <c r="Y41" s="673"/>
    </row>
    <row r="42" spans="1:25">
      <c r="A42" s="663" t="s">
        <v>28</v>
      </c>
      <c r="B42" s="663"/>
      <c r="C42" s="662">
        <v>6.117</v>
      </c>
      <c r="D42" s="662">
        <v>5.343</v>
      </c>
      <c r="E42" s="662">
        <v>4.3828000000000005</v>
      </c>
      <c r="F42" s="662">
        <v>4.0884</v>
      </c>
      <c r="G42" s="662">
        <v>3.6160999999999999</v>
      </c>
      <c r="H42" s="662">
        <v>2.6655000000000002</v>
      </c>
      <c r="I42" s="662">
        <v>2.4169999999999998</v>
      </c>
      <c r="J42" s="662">
        <v>2.1614</v>
      </c>
      <c r="K42" s="662">
        <v>1.9870999999999999</v>
      </c>
      <c r="L42" s="662">
        <v>1.754</v>
      </c>
      <c r="M42" s="662">
        <v>1.5714999999999999</v>
      </c>
      <c r="N42" s="662">
        <v>1.5659000000000001</v>
      </c>
      <c r="O42" s="662">
        <v>1.5256000000000001</v>
      </c>
      <c r="P42" s="662">
        <v>1.4595</v>
      </c>
      <c r="Q42" s="662">
        <v>1.4524999999999999</v>
      </c>
      <c r="R42" s="662">
        <v>1.4655</v>
      </c>
      <c r="S42" s="662">
        <v>1.3524400000000001</v>
      </c>
      <c r="T42" s="662">
        <v>1.3571</v>
      </c>
      <c r="U42" s="662">
        <f>'6-y'!AA17</f>
        <v>1.2849999999999999</v>
      </c>
      <c r="V42" s="662">
        <f>'6-y'!AB17</f>
        <v>1.1686000000000001</v>
      </c>
      <c r="W42" s="662"/>
      <c r="X42" s="662"/>
      <c r="Y42" s="673"/>
    </row>
    <row r="43" spans="1:25">
      <c r="A43" s="663" t="s">
        <v>29</v>
      </c>
      <c r="B43" s="663"/>
      <c r="C43" s="662">
        <v>10.694000000000001</v>
      </c>
      <c r="D43" s="662">
        <v>8.0760000000000005</v>
      </c>
      <c r="E43" s="662">
        <v>7.3283000000000005</v>
      </c>
      <c r="F43" s="662">
        <v>6.6818</v>
      </c>
      <c r="G43" s="662">
        <v>5.8259999999999996</v>
      </c>
      <c r="H43" s="662">
        <v>5.0380000000000003</v>
      </c>
      <c r="I43" s="662">
        <v>5.359</v>
      </c>
      <c r="J43" s="662">
        <v>5.1728000000000005</v>
      </c>
      <c r="K43" s="662">
        <v>4.2993999999999994</v>
      </c>
      <c r="L43" s="662">
        <v>4.2519999999999998</v>
      </c>
      <c r="M43" s="662">
        <v>4.4606000000000003</v>
      </c>
      <c r="N43" s="662">
        <v>5.8673000000000002</v>
      </c>
      <c r="O43" s="662">
        <v>5.6551</v>
      </c>
      <c r="P43" s="662">
        <v>5.8094000000000001</v>
      </c>
      <c r="Q43" s="662">
        <v>5.5792999999999999</v>
      </c>
      <c r="R43" s="662">
        <v>5.7538</v>
      </c>
      <c r="S43" s="662">
        <v>5.87392</v>
      </c>
      <c r="T43" s="662">
        <v>5.7079000000000004</v>
      </c>
      <c r="U43" s="662">
        <f>'6-y'!AA18</f>
        <v>5.9713000000000003</v>
      </c>
      <c r="V43" s="662">
        <f>'6-y'!AB18</f>
        <v>5.4051</v>
      </c>
      <c r="W43" s="662"/>
      <c r="X43" s="662"/>
      <c r="Y43" s="673"/>
    </row>
    <row r="44" spans="1:25" ht="15" thickBot="1">
      <c r="A44" s="663" t="s">
        <v>389</v>
      </c>
      <c r="B44" s="663"/>
      <c r="C44" s="662"/>
      <c r="D44" s="662"/>
      <c r="E44" s="662"/>
      <c r="F44" s="662"/>
      <c r="G44" s="662"/>
      <c r="H44" s="662"/>
      <c r="I44" s="662"/>
      <c r="J44" s="662"/>
      <c r="K44" s="662"/>
      <c r="L44" s="662"/>
      <c r="M44" s="662"/>
      <c r="N44" s="662"/>
      <c r="O44" s="662"/>
      <c r="P44" s="662"/>
      <c r="Q44" s="662"/>
      <c r="R44" s="662">
        <v>4.0000000000000002E-4</v>
      </c>
      <c r="S44" s="662">
        <v>4.1000000000000005E-4</v>
      </c>
      <c r="T44" s="662">
        <v>2.9999999999999997E-4</v>
      </c>
      <c r="U44" s="662">
        <f>'6-y'!AA19</f>
        <v>2.0000000000000001E-4</v>
      </c>
      <c r="V44" s="662">
        <f>'6-y'!AB19</f>
        <v>1E-4</v>
      </c>
      <c r="W44" s="662"/>
      <c r="X44" s="662"/>
      <c r="Y44" s="673"/>
    </row>
    <row r="45" spans="1:25" ht="15" thickBot="1">
      <c r="A45" s="661" t="s">
        <v>10</v>
      </c>
      <c r="B45" s="661"/>
      <c r="C45" s="660">
        <v>219.66900000000001</v>
      </c>
      <c r="D45" s="660">
        <v>251.95699999999999</v>
      </c>
      <c r="E45" s="660">
        <f t="shared" ref="E45:U45" si="19">E31+E38</f>
        <v>261.13729999999998</v>
      </c>
      <c r="F45" s="660">
        <f t="shared" si="19"/>
        <v>264.74310000000003</v>
      </c>
      <c r="G45" s="660">
        <f t="shared" si="19"/>
        <v>260.41210000000001</v>
      </c>
      <c r="H45" s="660">
        <f t="shared" si="19"/>
        <v>226.03559999999999</v>
      </c>
      <c r="I45" s="660">
        <f t="shared" si="19"/>
        <v>230.47120000000001</v>
      </c>
      <c r="J45" s="660">
        <f t="shared" si="19"/>
        <v>227.7003</v>
      </c>
      <c r="K45" s="660">
        <f t="shared" si="19"/>
        <v>216.81049999999999</v>
      </c>
      <c r="L45" s="660">
        <f t="shared" si="19"/>
        <v>192.23451999999997</v>
      </c>
      <c r="M45" s="660">
        <f t="shared" si="19"/>
        <v>175.51009999999999</v>
      </c>
      <c r="N45" s="660">
        <f t="shared" si="19"/>
        <v>191.45839999999998</v>
      </c>
      <c r="O45" s="660">
        <f t="shared" si="19"/>
        <v>198.69400000000002</v>
      </c>
      <c r="P45" s="660">
        <f t="shared" si="19"/>
        <v>208.8235</v>
      </c>
      <c r="Q45" s="660">
        <f t="shared" si="19"/>
        <v>192.12880000000001</v>
      </c>
      <c r="R45" s="660">
        <f t="shared" si="19"/>
        <v>195.08370000000002</v>
      </c>
      <c r="S45" s="660">
        <f t="shared" si="19"/>
        <v>180.80475999999999</v>
      </c>
      <c r="T45" s="660">
        <f t="shared" si="19"/>
        <v>189.13220999999999</v>
      </c>
      <c r="U45" s="660">
        <f t="shared" si="19"/>
        <v>198.51499999999999</v>
      </c>
      <c r="V45" s="660">
        <f t="shared" ref="V45" si="20">V31+V38</f>
        <v>161.9743</v>
      </c>
      <c r="W45" s="850"/>
      <c r="X45" s="850"/>
    </row>
    <row r="46" spans="1:25" ht="15" thickBot="1">
      <c r="A46" s="672"/>
      <c r="B46" s="672"/>
      <c r="C46" s="671"/>
      <c r="D46" s="671"/>
      <c r="E46" s="671"/>
      <c r="F46" s="671"/>
      <c r="G46" s="671"/>
      <c r="H46" s="671"/>
      <c r="I46" s="671"/>
      <c r="J46" s="671"/>
      <c r="K46" s="671"/>
      <c r="L46" s="671"/>
      <c r="M46" s="671"/>
      <c r="N46" s="671"/>
      <c r="O46" s="671"/>
      <c r="P46" s="671"/>
      <c r="Q46" s="671"/>
      <c r="R46" s="671"/>
      <c r="S46" s="671"/>
      <c r="T46" s="671"/>
      <c r="U46" s="671"/>
      <c r="V46" s="671"/>
      <c r="W46" s="679"/>
      <c r="X46" s="679"/>
    </row>
    <row r="47" spans="1:25" ht="15" thickBot="1">
      <c r="A47" s="666" t="s">
        <v>502</v>
      </c>
      <c r="B47" s="666"/>
      <c r="C47" s="670">
        <f t="shared" ref="C47:U47" si="21">C38/C45</f>
        <v>0.27359345196636758</v>
      </c>
      <c r="D47" s="670">
        <f t="shared" si="21"/>
        <v>0.37477426703762945</v>
      </c>
      <c r="E47" s="670">
        <f t="shared" si="21"/>
        <v>0.38923547114870227</v>
      </c>
      <c r="F47" s="670">
        <f t="shared" si="21"/>
        <v>0.4066221178191235</v>
      </c>
      <c r="G47" s="670">
        <f t="shared" si="21"/>
        <v>0.39523777888969058</v>
      </c>
      <c r="H47" s="670">
        <f t="shared" si="21"/>
        <v>0.444351686194564</v>
      </c>
      <c r="I47" s="670">
        <f t="shared" si="21"/>
        <v>0.48365262123857555</v>
      </c>
      <c r="J47" s="670">
        <f t="shared" si="21"/>
        <v>0.44580002749227821</v>
      </c>
      <c r="K47" s="670">
        <f t="shared" si="21"/>
        <v>0.46510109058371257</v>
      </c>
      <c r="L47" s="670">
        <f t="shared" si="21"/>
        <v>0.47490346686952994</v>
      </c>
      <c r="M47" s="670">
        <f t="shared" si="21"/>
        <v>0.48516125282818484</v>
      </c>
      <c r="N47" s="670">
        <f t="shared" si="21"/>
        <v>0.50075891159646169</v>
      </c>
      <c r="O47" s="670">
        <f t="shared" si="21"/>
        <v>0.52908895084904428</v>
      </c>
      <c r="P47" s="670">
        <f t="shared" si="21"/>
        <v>0.52737407427803862</v>
      </c>
      <c r="Q47" s="670">
        <f t="shared" si="21"/>
        <v>0.54609564000816113</v>
      </c>
      <c r="R47" s="670">
        <f t="shared" si="21"/>
        <v>0.54981733481577388</v>
      </c>
      <c r="S47" s="670">
        <f t="shared" si="21"/>
        <v>0.55558415608084655</v>
      </c>
      <c r="T47" s="670">
        <f t="shared" si="21"/>
        <v>0.53713325720669158</v>
      </c>
      <c r="U47" s="670">
        <f t="shared" si="21"/>
        <v>0.53115129839054986</v>
      </c>
      <c r="V47" s="670">
        <f t="shared" ref="V47" si="22">V38/V45</f>
        <v>0.59456592805154895</v>
      </c>
      <c r="W47" s="852"/>
      <c r="X47" s="852"/>
    </row>
    <row r="48" spans="1:25" ht="15" thickBot="1">
      <c r="C48" s="56"/>
      <c r="D48" s="56"/>
      <c r="E48" s="56"/>
      <c r="F48" s="56"/>
      <c r="G48" s="56"/>
      <c r="H48" s="56"/>
      <c r="I48" s="56"/>
      <c r="J48" s="56"/>
      <c r="K48" s="56"/>
      <c r="L48" s="56"/>
      <c r="M48" s="56"/>
      <c r="N48" s="56"/>
      <c r="O48" s="56"/>
      <c r="P48" s="56"/>
      <c r="Q48" s="56"/>
      <c r="R48" s="56"/>
      <c r="S48" s="56"/>
      <c r="T48" s="56"/>
      <c r="U48" s="56"/>
      <c r="V48" s="56"/>
      <c r="W48" s="56"/>
      <c r="X48" s="56"/>
    </row>
    <row r="49" spans="1:24">
      <c r="A49" s="909" t="s">
        <v>166</v>
      </c>
      <c r="B49" s="669"/>
      <c r="C49" s="668">
        <v>2000</v>
      </c>
      <c r="D49" s="668">
        <v>2005</v>
      </c>
      <c r="E49" s="668">
        <v>2006</v>
      </c>
      <c r="F49" s="668">
        <v>2007</v>
      </c>
      <c r="G49" s="668">
        <v>2008</v>
      </c>
      <c r="H49" s="668">
        <v>2009</v>
      </c>
      <c r="I49" s="668">
        <v>2010</v>
      </c>
      <c r="J49" s="668">
        <v>2011</v>
      </c>
      <c r="K49" s="668">
        <v>2012</v>
      </c>
      <c r="L49" s="668">
        <v>2013</v>
      </c>
      <c r="M49" s="668">
        <v>2014</v>
      </c>
      <c r="N49" s="668">
        <v>2015</v>
      </c>
      <c r="O49" s="668">
        <v>2016</v>
      </c>
      <c r="P49" s="668">
        <v>2017</v>
      </c>
      <c r="Q49" s="668">
        <v>2018</v>
      </c>
      <c r="R49" s="668">
        <v>2019</v>
      </c>
      <c r="S49" s="668">
        <v>2020</v>
      </c>
      <c r="T49" s="668">
        <v>2021</v>
      </c>
      <c r="U49" s="668">
        <v>2022</v>
      </c>
      <c r="V49" s="668">
        <v>2023</v>
      </c>
      <c r="W49" s="848"/>
      <c r="X49" s="848"/>
    </row>
    <row r="50" spans="1:24" ht="15" thickBot="1">
      <c r="A50" s="910"/>
      <c r="B50" s="666"/>
      <c r="C50" s="667" t="s">
        <v>501</v>
      </c>
      <c r="D50" s="667"/>
      <c r="E50" s="667"/>
      <c r="F50" s="667"/>
      <c r="G50" s="667"/>
      <c r="H50" s="667"/>
      <c r="I50" s="667"/>
      <c r="J50" s="667"/>
      <c r="K50" s="667"/>
      <c r="L50" s="667"/>
      <c r="M50" s="667"/>
      <c r="N50" s="667"/>
      <c r="O50" s="667"/>
      <c r="P50" s="667"/>
      <c r="Q50" s="667"/>
      <c r="R50" s="667"/>
      <c r="S50" s="667"/>
      <c r="T50" s="667"/>
      <c r="U50" s="667"/>
      <c r="V50" s="667"/>
      <c r="W50" s="849"/>
      <c r="X50" s="849"/>
    </row>
    <row r="51" spans="1:24" ht="15" thickBot="1">
      <c r="A51" s="666" t="s">
        <v>17</v>
      </c>
      <c r="B51" s="666"/>
      <c r="C51" s="665">
        <f t="shared" ref="C51:U51" si="23">(C31*1000)/C6</f>
        <v>3616.8683983861461</v>
      </c>
      <c r="D51" s="665">
        <f t="shared" si="23"/>
        <v>3398.7788301797236</v>
      </c>
      <c r="E51" s="665">
        <f t="shared" si="23"/>
        <v>3264.0934858686533</v>
      </c>
      <c r="F51" s="665">
        <f t="shared" si="23"/>
        <v>3029.8115682076805</v>
      </c>
      <c r="G51" s="665">
        <f t="shared" si="23"/>
        <v>2889.8361377690512</v>
      </c>
      <c r="H51" s="665">
        <f t="shared" si="23"/>
        <v>2403.2509902221541</v>
      </c>
      <c r="I51" s="665">
        <f t="shared" si="23"/>
        <v>2205.1922542388584</v>
      </c>
      <c r="J51" s="665">
        <f t="shared" si="23"/>
        <v>2258.9864308474453</v>
      </c>
      <c r="K51" s="665">
        <f t="shared" si="23"/>
        <v>2032.2772842850859</v>
      </c>
      <c r="L51" s="665">
        <f t="shared" si="23"/>
        <v>1825.2841222453478</v>
      </c>
      <c r="M51" s="665">
        <f t="shared" si="23"/>
        <v>1754.4969476676454</v>
      </c>
      <c r="N51" s="665">
        <f t="shared" si="23"/>
        <v>2274.1935483870971</v>
      </c>
      <c r="O51" s="665">
        <f t="shared" si="23"/>
        <v>2418.5445390488894</v>
      </c>
      <c r="P51" s="665">
        <f t="shared" si="23"/>
        <v>2605.2963629740307</v>
      </c>
      <c r="Q51" s="665">
        <f t="shared" si="23"/>
        <v>2302.9314756669833</v>
      </c>
      <c r="R51" s="665">
        <f t="shared" si="23"/>
        <v>2322.6242393307966</v>
      </c>
      <c r="S51" s="665">
        <f t="shared" si="23"/>
        <v>2213.8663345740883</v>
      </c>
      <c r="T51" s="665">
        <f t="shared" si="23"/>
        <v>2445.4379373437432</v>
      </c>
      <c r="U51" s="665">
        <f t="shared" si="23"/>
        <v>2599.0343695198089</v>
      </c>
      <c r="V51" s="665">
        <f t="shared" ref="V51" si="24">(V31*1000)/V6</f>
        <v>1804.2767496043607</v>
      </c>
      <c r="W51" s="850"/>
      <c r="X51" s="850"/>
    </row>
    <row r="52" spans="1:24">
      <c r="A52" s="663" t="s">
        <v>18</v>
      </c>
      <c r="B52" s="663"/>
      <c r="C52" s="662">
        <f t="shared" ref="C52:U52" si="25">(C32*1000)/C7</f>
        <v>2852.0286396181386</v>
      </c>
      <c r="D52" s="662">
        <f t="shared" si="25"/>
        <v>3180.5555555555557</v>
      </c>
      <c r="E52" s="662">
        <f t="shared" si="25"/>
        <v>3253.4090909090905</v>
      </c>
      <c r="F52" s="662">
        <f t="shared" si="25"/>
        <v>3094.8121645796064</v>
      </c>
      <c r="G52" s="662">
        <f t="shared" si="25"/>
        <v>2993.4920634920636</v>
      </c>
      <c r="H52" s="662">
        <f t="shared" si="25"/>
        <v>3405.9474412171508</v>
      </c>
      <c r="I52" s="662">
        <f t="shared" si="25"/>
        <v>3419.8653198653196</v>
      </c>
      <c r="J52" s="662">
        <f t="shared" si="25"/>
        <v>3493.8189425637129</v>
      </c>
      <c r="K52" s="662">
        <f t="shared" si="25"/>
        <v>2878.6743515850144</v>
      </c>
      <c r="L52" s="662">
        <f t="shared" si="25"/>
        <v>3985.455069124424</v>
      </c>
      <c r="M52" s="662">
        <f t="shared" si="25"/>
        <v>4180.5007587253413</v>
      </c>
      <c r="N52" s="662">
        <f t="shared" si="25"/>
        <v>4017.9466451091344</v>
      </c>
      <c r="O52" s="662">
        <f t="shared" si="25"/>
        <v>3974.1205014152852</v>
      </c>
      <c r="P52" s="662">
        <f t="shared" si="25"/>
        <v>3842.0416061925494</v>
      </c>
      <c r="Q52" s="662">
        <f t="shared" si="25"/>
        <v>3869.4444444444443</v>
      </c>
      <c r="R52" s="662">
        <f t="shared" si="25"/>
        <v>3948.4004985459073</v>
      </c>
      <c r="S52" s="662">
        <f t="shared" si="25"/>
        <v>3882.7024758707512</v>
      </c>
      <c r="T52" s="662">
        <f t="shared" si="25"/>
        <v>3617.6547858831773</v>
      </c>
      <c r="U52" s="662">
        <f t="shared" si="25"/>
        <v>2896.6080597479381</v>
      </c>
      <c r="V52" s="662">
        <f t="shared" ref="V52" si="26">(V32*1000)/V7</f>
        <v>2187.566560170394</v>
      </c>
      <c r="W52" s="662"/>
      <c r="X52" s="662"/>
    </row>
    <row r="53" spans="1:24">
      <c r="A53" s="663" t="s">
        <v>19</v>
      </c>
      <c r="B53" s="663"/>
      <c r="C53" s="662">
        <f t="shared" ref="C53:U53" si="27">(C33*1000)/C8</f>
        <v>2762.435868837832</v>
      </c>
      <c r="D53" s="662">
        <f t="shared" si="27"/>
        <v>287.24832214765098</v>
      </c>
      <c r="E53" s="662">
        <f t="shared" si="27"/>
        <v>231.90700808625337</v>
      </c>
      <c r="F53" s="662">
        <f t="shared" si="27"/>
        <v>189.92950654582071</v>
      </c>
      <c r="G53" s="662">
        <f t="shared" si="27"/>
        <v>200.77444336882866</v>
      </c>
      <c r="H53" s="662">
        <f t="shared" si="27"/>
        <v>200.07993605115911</v>
      </c>
      <c r="I53" s="662">
        <f t="shared" si="27"/>
        <v>141.75605880015894</v>
      </c>
      <c r="J53" s="662">
        <f t="shared" si="27"/>
        <v>99.097685366810509</v>
      </c>
      <c r="K53" s="662">
        <f t="shared" si="27"/>
        <v>75.204209864907313</v>
      </c>
      <c r="L53" s="662">
        <f t="shared" si="27"/>
        <v>1145.7250488770208</v>
      </c>
      <c r="M53" s="662">
        <f t="shared" si="27"/>
        <v>1668.8872765648703</v>
      </c>
      <c r="N53" s="662">
        <f t="shared" si="27"/>
        <v>1672.6451066233583</v>
      </c>
      <c r="O53" s="662">
        <f t="shared" si="27"/>
        <v>155.13056270687753</v>
      </c>
      <c r="P53" s="662">
        <f t="shared" si="27"/>
        <v>218.04538934049359</v>
      </c>
      <c r="Q53" s="662">
        <f t="shared" si="27"/>
        <v>109.98307952622673</v>
      </c>
      <c r="R53" s="662">
        <f t="shared" si="27"/>
        <v>467.97974945493507</v>
      </c>
      <c r="S53" s="662">
        <f t="shared" si="27"/>
        <v>537.41771076661712</v>
      </c>
      <c r="T53" s="662">
        <f t="shared" si="27"/>
        <v>285.58080271819921</v>
      </c>
      <c r="U53" s="662">
        <f t="shared" si="27"/>
        <v>98.476512907321194</v>
      </c>
      <c r="V53" s="662">
        <f t="shared" ref="V53" si="28">(V33*1000)/V8</f>
        <v>96.769260179697952</v>
      </c>
      <c r="W53" s="662"/>
      <c r="X53" s="662"/>
    </row>
    <row r="54" spans="1:24">
      <c r="A54" s="663" t="s">
        <v>20</v>
      </c>
      <c r="B54" s="663"/>
      <c r="C54" s="662">
        <f t="shared" ref="C54:U54" si="29">(C34*1000)/C9</f>
        <v>3705.7005860415557</v>
      </c>
      <c r="D54" s="662">
        <f t="shared" si="29"/>
        <v>3249.0865304766648</v>
      </c>
      <c r="E54" s="662">
        <f t="shared" si="29"/>
        <v>3102.4014155712844</v>
      </c>
      <c r="F54" s="662">
        <f t="shared" si="29"/>
        <v>2781.39385091034</v>
      </c>
      <c r="G54" s="662">
        <f t="shared" si="29"/>
        <v>2685.3087265564786</v>
      </c>
      <c r="H54" s="662">
        <f t="shared" si="29"/>
        <v>2556.7766404679219</v>
      </c>
      <c r="I54" s="662">
        <f t="shared" si="29"/>
        <v>2390.4600284364533</v>
      </c>
      <c r="J54" s="662">
        <f t="shared" si="29"/>
        <v>2594.0715312891407</v>
      </c>
      <c r="K54" s="662">
        <f t="shared" si="29"/>
        <v>2747.8427479216152</v>
      </c>
      <c r="L54" s="662">
        <f t="shared" si="29"/>
        <v>2586.907375937983</v>
      </c>
      <c r="M54" s="662">
        <f t="shared" si="29"/>
        <v>2939.9847821951685</v>
      </c>
      <c r="N54" s="662">
        <f t="shared" si="29"/>
        <v>3783.9750723347429</v>
      </c>
      <c r="O54" s="662">
        <f t="shared" si="29"/>
        <v>3344.0723290462242</v>
      </c>
      <c r="P54" s="662">
        <f t="shared" si="29"/>
        <v>3316.4135653239805</v>
      </c>
      <c r="Q54" s="662">
        <f t="shared" si="29"/>
        <v>2881.8116817895507</v>
      </c>
      <c r="R54" s="662">
        <f t="shared" si="29"/>
        <v>2064.2879718451827</v>
      </c>
      <c r="S54" s="662">
        <f t="shared" si="29"/>
        <v>1782.7587514696404</v>
      </c>
      <c r="T54" s="662">
        <f t="shared" si="29"/>
        <v>2094.4978007344334</v>
      </c>
      <c r="U54" s="662">
        <f t="shared" si="29"/>
        <v>3566.042474204291</v>
      </c>
      <c r="V54" s="662">
        <f t="shared" ref="V54" si="30">(V34*1000)/V9</f>
        <v>2087.2540445999125</v>
      </c>
      <c r="W54" s="662"/>
      <c r="X54" s="662"/>
    </row>
    <row r="55" spans="1:24">
      <c r="A55" s="663" t="s">
        <v>21</v>
      </c>
      <c r="B55" s="663"/>
      <c r="C55" s="662">
        <f t="shared" ref="C55:U55" si="31">(C35*1000)/C10</f>
        <v>4296.0649594003744</v>
      </c>
      <c r="D55" s="662">
        <f t="shared" si="31"/>
        <v>4592.1927560040685</v>
      </c>
      <c r="E55" s="662">
        <f t="shared" si="31"/>
        <v>4194.5422987914644</v>
      </c>
      <c r="F55" s="662">
        <f t="shared" si="31"/>
        <v>4120.1953537486797</v>
      </c>
      <c r="G55" s="662">
        <f t="shared" si="31"/>
        <v>3987.1101107078875</v>
      </c>
      <c r="H55" s="662">
        <f t="shared" si="31"/>
        <v>3002.1577380952385</v>
      </c>
      <c r="I55" s="662">
        <f t="shared" si="31"/>
        <v>2707.7638810749991</v>
      </c>
      <c r="J55" s="662">
        <f t="shared" si="31"/>
        <v>2632.5393975663278</v>
      </c>
      <c r="K55" s="662">
        <f t="shared" si="31"/>
        <v>2013.3259814222861</v>
      </c>
      <c r="L55" s="662">
        <f t="shared" si="31"/>
        <v>1536.6159653602751</v>
      </c>
      <c r="M55" s="662">
        <f t="shared" si="31"/>
        <v>1184.4545071106265</v>
      </c>
      <c r="N55" s="662">
        <f t="shared" si="31"/>
        <v>1594.4012029011144</v>
      </c>
      <c r="O55" s="662">
        <f t="shared" si="31"/>
        <v>2117.8395321980456</v>
      </c>
      <c r="P55" s="662">
        <f t="shared" si="31"/>
        <v>2491.662810038536</v>
      </c>
      <c r="Q55" s="662">
        <f t="shared" si="31"/>
        <v>2213.9397632870387</v>
      </c>
      <c r="R55" s="662">
        <f t="shared" si="31"/>
        <v>2641.090730804302</v>
      </c>
      <c r="S55" s="662">
        <f t="shared" si="31"/>
        <v>2541.8856894937549</v>
      </c>
      <c r="T55" s="662">
        <f t="shared" si="31"/>
        <v>2806.9619249912816</v>
      </c>
      <c r="U55" s="662">
        <f t="shared" si="31"/>
        <v>2487.8730192304301</v>
      </c>
      <c r="V55" s="662">
        <f t="shared" ref="V55" si="32">(V35*1000)/V10</f>
        <v>1885.6034879390049</v>
      </c>
      <c r="W55" s="662"/>
      <c r="X55" s="662"/>
    </row>
    <row r="56" spans="1:24">
      <c r="A56" s="663" t="s">
        <v>23</v>
      </c>
      <c r="B56" s="663"/>
      <c r="C56" s="662" t="str">
        <f t="shared" ref="C56:U56" si="33">IFERROR((C36*1000)/C11,"")</f>
        <v/>
      </c>
      <c r="D56" s="662">
        <f t="shared" si="33"/>
        <v>3146.7523445640845</v>
      </c>
      <c r="E56" s="662">
        <f t="shared" si="33"/>
        <v>3160.5418548106986</v>
      </c>
      <c r="F56" s="662">
        <f t="shared" si="33"/>
        <v>2081.8513372698853</v>
      </c>
      <c r="G56" s="662">
        <f t="shared" si="33"/>
        <v>1028.8078224896578</v>
      </c>
      <c r="H56" s="662">
        <f t="shared" si="33"/>
        <v>399.07860097781128</v>
      </c>
      <c r="I56" s="662">
        <f t="shared" si="33"/>
        <v>171.45543437382474</v>
      </c>
      <c r="J56" s="662">
        <f t="shared" si="33"/>
        <v>67.657013915005649</v>
      </c>
      <c r="K56" s="662">
        <f t="shared" si="33"/>
        <v>63.957424401985854</v>
      </c>
      <c r="L56" s="662">
        <f t="shared" si="33"/>
        <v>10.813148788927334</v>
      </c>
      <c r="M56" s="662">
        <f t="shared" si="33"/>
        <v>0.67699714156762458</v>
      </c>
      <c r="N56" s="662">
        <f t="shared" si="33"/>
        <v>1.6485474959900195</v>
      </c>
      <c r="O56" s="662" t="str">
        <f t="shared" si="33"/>
        <v/>
      </c>
      <c r="P56" s="662" t="str">
        <f t="shared" si="33"/>
        <v/>
      </c>
      <c r="Q56" s="662" t="str">
        <f t="shared" si="33"/>
        <v/>
      </c>
      <c r="R56" s="662" t="str">
        <f t="shared" si="33"/>
        <v/>
      </c>
      <c r="S56" s="662" t="str">
        <f t="shared" si="33"/>
        <v/>
      </c>
      <c r="T56" s="662" t="str">
        <f t="shared" si="33"/>
        <v/>
      </c>
      <c r="U56" s="662" t="str">
        <f t="shared" si="33"/>
        <v/>
      </c>
      <c r="V56" s="662" t="str">
        <f t="shared" ref="V56" si="34">IFERROR((V36*1000)/V11,"")</f>
        <v/>
      </c>
      <c r="W56" s="662"/>
      <c r="X56" s="662"/>
    </row>
    <row r="57" spans="1:24" ht="15" thickBot="1">
      <c r="A57" s="663"/>
      <c r="B57" s="663"/>
      <c r="C57" s="662"/>
      <c r="D57" s="662"/>
      <c r="E57" s="662"/>
      <c r="F57" s="662"/>
      <c r="G57" s="662"/>
      <c r="H57" s="662"/>
      <c r="I57" s="662"/>
      <c r="J57" s="662"/>
      <c r="K57" s="662"/>
      <c r="L57" s="662"/>
      <c r="M57" s="662"/>
      <c r="N57" s="662"/>
      <c r="O57" s="662"/>
      <c r="P57" s="662"/>
      <c r="Q57" s="662"/>
      <c r="R57" s="662">
        <f t="shared" ref="R57:U65" si="35">(R37*1000)/R14</f>
        <v>500</v>
      </c>
      <c r="S57" s="662">
        <f t="shared" si="35"/>
        <v>550</v>
      </c>
      <c r="T57" s="662">
        <f t="shared" si="35"/>
        <v>550</v>
      </c>
      <c r="U57" s="662">
        <f t="shared" si="35"/>
        <v>1000</v>
      </c>
      <c r="V57" s="662">
        <f t="shared" ref="V57" si="36">(V37*1000)/V14</f>
        <v>3363.6363636363635</v>
      </c>
      <c r="W57" s="662"/>
      <c r="X57" s="662"/>
    </row>
    <row r="58" spans="1:24" ht="15" thickBot="1">
      <c r="A58" s="661" t="s">
        <v>24</v>
      </c>
      <c r="B58" s="661"/>
      <c r="C58" s="660">
        <f t="shared" ref="C58:Q58" si="37">(C38*1000)/C15</f>
        <v>4918.9720085120316</v>
      </c>
      <c r="D58" s="660">
        <f t="shared" si="37"/>
        <v>5160.7913865661039</v>
      </c>
      <c r="E58" s="660">
        <f t="shared" si="37"/>
        <v>5215.9850156514613</v>
      </c>
      <c r="F58" s="660">
        <f t="shared" si="37"/>
        <v>5279.3094992889028</v>
      </c>
      <c r="G58" s="660">
        <f t="shared" si="37"/>
        <v>4782.3018306848808</v>
      </c>
      <c r="H58" s="660">
        <f t="shared" si="37"/>
        <v>4114.8469826703258</v>
      </c>
      <c r="I58" s="660">
        <f t="shared" si="37"/>
        <v>4572.8585493928449</v>
      </c>
      <c r="J58" s="660">
        <f t="shared" si="37"/>
        <v>4256.3126336534024</v>
      </c>
      <c r="K58" s="660">
        <f t="shared" si="37"/>
        <v>4289.3335375087199</v>
      </c>
      <c r="L58" s="660">
        <f t="shared" si="37"/>
        <v>3935.2227907357665</v>
      </c>
      <c r="M58" s="660">
        <f t="shared" si="37"/>
        <v>3628.9933515172174</v>
      </c>
      <c r="N58" s="660">
        <f t="shared" si="37"/>
        <v>3608.5370810875916</v>
      </c>
      <c r="O58" s="660">
        <f t="shared" si="37"/>
        <v>4008.2202853460831</v>
      </c>
      <c r="P58" s="660">
        <f t="shared" si="37"/>
        <v>4209.3874820831352</v>
      </c>
      <c r="Q58" s="660">
        <f t="shared" si="37"/>
        <v>4011.97236147278</v>
      </c>
      <c r="R58" s="660">
        <f t="shared" si="35"/>
        <v>4103.7919569650576</v>
      </c>
      <c r="S58" s="660">
        <f t="shared" si="35"/>
        <v>3810.9572514682</v>
      </c>
      <c r="T58" s="660">
        <f t="shared" si="35"/>
        <v>3887.2426723808067</v>
      </c>
      <c r="U58" s="660">
        <f t="shared" si="35"/>
        <v>3966.6503649085848</v>
      </c>
      <c r="V58" s="660">
        <f t="shared" ref="V58" si="38">(V38*1000)/V15</f>
        <v>3591.4778088138219</v>
      </c>
      <c r="W58" s="850"/>
      <c r="X58" s="850"/>
    </row>
    <row r="59" spans="1:24">
      <c r="A59" s="663" t="s">
        <v>25</v>
      </c>
      <c r="B59" s="663"/>
      <c r="C59" s="662">
        <f t="shared" ref="C59:Q59" si="39">(C39*1000)/C16</f>
        <v>3202.3529411764707</v>
      </c>
      <c r="D59" s="662">
        <f t="shared" si="39"/>
        <v>3568.7203791469192</v>
      </c>
      <c r="E59" s="662">
        <f t="shared" si="39"/>
        <v>3637.073863636364</v>
      </c>
      <c r="F59" s="662">
        <f t="shared" si="39"/>
        <v>3579.5543905635645</v>
      </c>
      <c r="G59" s="662">
        <f t="shared" si="39"/>
        <v>3651.3939393939395</v>
      </c>
      <c r="H59" s="662">
        <f t="shared" si="39"/>
        <v>3439.8206278026905</v>
      </c>
      <c r="I59" s="662">
        <f t="shared" si="39"/>
        <v>3941.7605633802818</v>
      </c>
      <c r="J59" s="662">
        <f t="shared" si="39"/>
        <v>3860.0440286186022</v>
      </c>
      <c r="K59" s="662">
        <f t="shared" si="39"/>
        <v>3494.6688755787773</v>
      </c>
      <c r="L59" s="662">
        <f t="shared" si="39"/>
        <v>4187.3572272548245</v>
      </c>
      <c r="M59" s="662">
        <f t="shared" si="39"/>
        <v>4397.8989070071802</v>
      </c>
      <c r="N59" s="662">
        <f t="shared" si="39"/>
        <v>4645.1529373685062</v>
      </c>
      <c r="O59" s="662">
        <f t="shared" si="39"/>
        <v>4671.9921346933761</v>
      </c>
      <c r="P59" s="662">
        <f t="shared" si="39"/>
        <v>4832.5759600819747</v>
      </c>
      <c r="Q59" s="662">
        <f t="shared" si="39"/>
        <v>4836.3897979911972</v>
      </c>
      <c r="R59" s="662">
        <f t="shared" si="35"/>
        <v>4916.5061189048383</v>
      </c>
      <c r="S59" s="662">
        <f t="shared" si="35"/>
        <v>4859.6786937055567</v>
      </c>
      <c r="T59" s="662">
        <f t="shared" si="35"/>
        <v>5005.533637341804</v>
      </c>
      <c r="U59" s="662">
        <f t="shared" si="35"/>
        <v>4573.3892115775798</v>
      </c>
      <c r="V59" s="662">
        <f t="shared" ref="V59" si="40">(V39*1000)/V16</f>
        <v>4503.5718523792575</v>
      </c>
      <c r="W59" s="662"/>
      <c r="X59" s="662"/>
    </row>
    <row r="60" spans="1:24">
      <c r="A60" s="663" t="s">
        <v>26</v>
      </c>
      <c r="B60" s="663"/>
      <c r="C60" s="664">
        <f t="shared" ref="C60:Q60" si="41">(C40*1000)/C17</f>
        <v>5619.4790486976217</v>
      </c>
      <c r="D60" s="662">
        <f t="shared" si="41"/>
        <v>5928.7804878048782</v>
      </c>
      <c r="E60" s="662">
        <f t="shared" si="41"/>
        <v>5055.2281368821295</v>
      </c>
      <c r="F60" s="662">
        <f t="shared" si="41"/>
        <v>5585.0371747211893</v>
      </c>
      <c r="G60" s="662">
        <f t="shared" si="41"/>
        <v>5277.0149253731342</v>
      </c>
      <c r="H60" s="662">
        <f t="shared" si="41"/>
        <v>4300</v>
      </c>
      <c r="I60" s="662">
        <f t="shared" si="41"/>
        <v>4301.9396793362484</v>
      </c>
      <c r="J60" s="662">
        <f t="shared" si="41"/>
        <v>4454.8523206751051</v>
      </c>
      <c r="K60" s="662">
        <f t="shared" si="41"/>
        <v>4118.2943603851436</v>
      </c>
      <c r="L60" s="662">
        <f t="shared" si="41"/>
        <v>3763.4920634920632</v>
      </c>
      <c r="M60" s="662">
        <f t="shared" si="41"/>
        <v>3977.6798543921832</v>
      </c>
      <c r="N60" s="662">
        <f t="shared" si="41"/>
        <v>4399.0194229681319</v>
      </c>
      <c r="O60" s="662">
        <f t="shared" si="41"/>
        <v>4656.3364165156854</v>
      </c>
      <c r="P60" s="662">
        <f t="shared" si="41"/>
        <v>4815.5602864331322</v>
      </c>
      <c r="Q60" s="662">
        <f t="shared" si="41"/>
        <v>4864.9205414949965</v>
      </c>
      <c r="R60" s="662">
        <f t="shared" si="35"/>
        <v>5123.6381322957204</v>
      </c>
      <c r="S60" s="662">
        <f t="shared" si="35"/>
        <v>4696.737886302938</v>
      </c>
      <c r="T60" s="662">
        <f t="shared" si="35"/>
        <v>4816.0781727714166</v>
      </c>
      <c r="U60" s="662">
        <f t="shared" si="35"/>
        <v>4568.9235265465168</v>
      </c>
      <c r="V60" s="662">
        <f t="shared" ref="V60" si="42">(V40*1000)/V17</f>
        <v>3795.5900707252808</v>
      </c>
      <c r="W60" s="662"/>
      <c r="X60" s="662"/>
    </row>
    <row r="61" spans="1:24">
      <c r="A61" s="663" t="s">
        <v>27</v>
      </c>
      <c r="B61" s="663"/>
      <c r="C61" s="662">
        <f t="shared" ref="C61:Q61" si="43">(C41*1000)/C18</f>
        <v>5827.0807061790665</v>
      </c>
      <c r="D61" s="662">
        <f t="shared" si="43"/>
        <v>5788.2915173237752</v>
      </c>
      <c r="E61" s="662">
        <f t="shared" si="43"/>
        <v>5896.8163851958316</v>
      </c>
      <c r="F61" s="662">
        <f t="shared" si="43"/>
        <v>5875.9666666666662</v>
      </c>
      <c r="G61" s="662">
        <f t="shared" si="43"/>
        <v>5211.5285766736024</v>
      </c>
      <c r="H61" s="662">
        <f t="shared" si="43"/>
        <v>4448.2823529411762</v>
      </c>
      <c r="I61" s="662">
        <f t="shared" si="43"/>
        <v>4979.5446140842096</v>
      </c>
      <c r="J61" s="662">
        <f t="shared" si="43"/>
        <v>4522.4766890233932</v>
      </c>
      <c r="K61" s="662">
        <f t="shared" si="43"/>
        <v>4710.0974779160524</v>
      </c>
      <c r="L61" s="662">
        <f t="shared" si="43"/>
        <v>4184.9672816611928</v>
      </c>
      <c r="M61" s="662">
        <f t="shared" si="43"/>
        <v>3709.33012225432</v>
      </c>
      <c r="N61" s="662">
        <f t="shared" si="43"/>
        <v>3614.2781283188601</v>
      </c>
      <c r="O61" s="662">
        <f t="shared" si="43"/>
        <v>4093.8804698755903</v>
      </c>
      <c r="P61" s="662">
        <f t="shared" si="43"/>
        <v>4321.5936710670549</v>
      </c>
      <c r="Q61" s="662">
        <f t="shared" si="43"/>
        <v>4012.7444180296184</v>
      </c>
      <c r="R61" s="662">
        <f t="shared" si="35"/>
        <v>4092.2058509502453</v>
      </c>
      <c r="S61" s="662">
        <f t="shared" si="35"/>
        <v>3697.9003652919691</v>
      </c>
      <c r="T61" s="662">
        <f t="shared" si="35"/>
        <v>3719.8639879100369</v>
      </c>
      <c r="U61" s="662">
        <f t="shared" si="35"/>
        <v>3888.9676604318697</v>
      </c>
      <c r="V61" s="662">
        <f t="shared" ref="V61" si="44">(V41*1000)/V18</f>
        <v>3448.6642400934002</v>
      </c>
      <c r="W61" s="662"/>
      <c r="X61" s="662"/>
    </row>
    <row r="62" spans="1:24">
      <c r="A62" s="663" t="s">
        <v>28</v>
      </c>
      <c r="B62" s="663"/>
      <c r="C62" s="662">
        <f t="shared" ref="C62:Q62" si="45">(C42*1000)/C19</f>
        <v>3026.7194458189015</v>
      </c>
      <c r="D62" s="662">
        <f t="shared" si="45"/>
        <v>2829.9788135593221</v>
      </c>
      <c r="E62" s="662">
        <f t="shared" si="45"/>
        <v>2483.1728045325781</v>
      </c>
      <c r="F62" s="662">
        <f t="shared" si="45"/>
        <v>2547.2897196261683</v>
      </c>
      <c r="G62" s="662">
        <f t="shared" si="45"/>
        <v>2290.1203293223557</v>
      </c>
      <c r="H62" s="662">
        <f t="shared" si="45"/>
        <v>1781.7513368983957</v>
      </c>
      <c r="I62" s="662">
        <f t="shared" si="45"/>
        <v>1857.801691006918</v>
      </c>
      <c r="J62" s="662">
        <f t="shared" si="45"/>
        <v>1715.3968253968255</v>
      </c>
      <c r="K62" s="662">
        <f t="shared" si="45"/>
        <v>1700.9929806539974</v>
      </c>
      <c r="L62" s="662">
        <f t="shared" si="45"/>
        <v>1664.2945250972577</v>
      </c>
      <c r="M62" s="662">
        <f t="shared" si="45"/>
        <v>1535.4176844162187</v>
      </c>
      <c r="N62" s="662">
        <f t="shared" si="45"/>
        <v>1545.4994078168179</v>
      </c>
      <c r="O62" s="662">
        <f t="shared" si="45"/>
        <v>2098.4869325997252</v>
      </c>
      <c r="P62" s="662">
        <f t="shared" si="45"/>
        <v>2036.1328125</v>
      </c>
      <c r="Q62" s="662">
        <f t="shared" si="45"/>
        <v>2254.7345544861846</v>
      </c>
      <c r="R62" s="662">
        <f t="shared" si="35"/>
        <v>2407.1944809461233</v>
      </c>
      <c r="S62" s="662">
        <f t="shared" si="35"/>
        <v>2419.3917710196779</v>
      </c>
      <c r="T62" s="662">
        <f t="shared" si="35"/>
        <v>2368.4118673647472</v>
      </c>
      <c r="U62" s="662">
        <f t="shared" si="35"/>
        <v>2257.1579132267698</v>
      </c>
      <c r="V62" s="662">
        <f t="shared" ref="V62" si="46">(V42*1000)/V19</f>
        <v>2041.2227074235809</v>
      </c>
      <c r="W62" s="662"/>
      <c r="X62" s="662"/>
    </row>
    <row r="63" spans="1:24">
      <c r="A63" s="663" t="s">
        <v>29</v>
      </c>
      <c r="B63" s="663"/>
      <c r="C63" s="662">
        <f t="shared" ref="C63:Q63" si="47">(C43*1000)/C20</f>
        <v>4201.9646365422395</v>
      </c>
      <c r="D63" s="662">
        <f t="shared" si="47"/>
        <v>3677.5956284153008</v>
      </c>
      <c r="E63" s="662">
        <f t="shared" si="47"/>
        <v>3573.0375426621158</v>
      </c>
      <c r="F63" s="662">
        <f t="shared" si="47"/>
        <v>3430.0821355236139</v>
      </c>
      <c r="G63" s="662">
        <f t="shared" si="47"/>
        <v>3287.8103837471781</v>
      </c>
      <c r="H63" s="662">
        <f t="shared" si="47"/>
        <v>2827.1604938271603</v>
      </c>
      <c r="I63" s="662">
        <f t="shared" si="47"/>
        <v>2923.6224768139664</v>
      </c>
      <c r="J63" s="662">
        <f t="shared" si="47"/>
        <v>3481.0228802153433</v>
      </c>
      <c r="K63" s="662">
        <f t="shared" si="47"/>
        <v>2791.0932225396</v>
      </c>
      <c r="L63" s="662">
        <f t="shared" si="47"/>
        <v>2552.8338136407301</v>
      </c>
      <c r="M63" s="662">
        <f t="shared" si="47"/>
        <v>2606.7087424029924</v>
      </c>
      <c r="N63" s="662">
        <f t="shared" si="47"/>
        <v>2670.4747166719771</v>
      </c>
      <c r="O63" s="662">
        <f t="shared" si="47"/>
        <v>2594.6776783665982</v>
      </c>
      <c r="P63" s="662">
        <f t="shared" si="47"/>
        <v>2688.6657101865139</v>
      </c>
      <c r="Q63" s="662">
        <f t="shared" si="47"/>
        <v>2712.3480797277589</v>
      </c>
      <c r="R63" s="662">
        <f t="shared" si="35"/>
        <v>2762.9291716686675</v>
      </c>
      <c r="S63" s="662">
        <f t="shared" si="35"/>
        <v>2844.3755750326859</v>
      </c>
      <c r="T63" s="662">
        <f t="shared" si="35"/>
        <v>2867.1388386578265</v>
      </c>
      <c r="U63" s="662">
        <f t="shared" si="35"/>
        <v>3441.8698484062479</v>
      </c>
      <c r="V63" s="662">
        <f t="shared" ref="V63" si="48">(V43*1000)/V20</f>
        <v>3261.7826323094564</v>
      </c>
      <c r="W63" s="662"/>
      <c r="X63" s="662"/>
    </row>
    <row r="64" spans="1:24" ht="15" thickBot="1">
      <c r="A64" s="663"/>
      <c r="B64" s="663"/>
      <c r="C64" s="662"/>
      <c r="D64" s="662"/>
      <c r="E64" s="662"/>
      <c r="F64" s="662"/>
      <c r="G64" s="662"/>
      <c r="H64" s="662"/>
      <c r="I64" s="662"/>
      <c r="J64" s="662"/>
      <c r="K64" s="662"/>
      <c r="L64" s="662"/>
      <c r="M64" s="662"/>
      <c r="N64" s="662"/>
      <c r="O64" s="662"/>
      <c r="P64" s="662"/>
      <c r="Q64" s="662"/>
      <c r="R64" s="662">
        <f t="shared" si="35"/>
        <v>1333.3333333333335</v>
      </c>
      <c r="S64" s="662">
        <f t="shared" si="35"/>
        <v>1366.666666666667</v>
      </c>
      <c r="T64" s="662">
        <f t="shared" si="35"/>
        <v>1000</v>
      </c>
      <c r="U64" s="662">
        <f t="shared" si="35"/>
        <v>2000</v>
      </c>
      <c r="V64" s="662">
        <f t="shared" ref="V64" si="49">(V44*1000)/V21</f>
        <v>1000</v>
      </c>
      <c r="W64" s="662"/>
      <c r="X64" s="662"/>
    </row>
    <row r="65" spans="1:24" ht="15" thickBot="1">
      <c r="A65" s="661" t="s">
        <v>10</v>
      </c>
      <c r="B65" s="661"/>
      <c r="C65" s="660">
        <f t="shared" ref="C65:Q65" si="50">(C45*1000)/C22</f>
        <v>3899.195910325363</v>
      </c>
      <c r="D65" s="660">
        <f t="shared" si="50"/>
        <v>3897.4878569439716</v>
      </c>
      <c r="E65" s="660">
        <f t="shared" si="50"/>
        <v>3820.5896122896856</v>
      </c>
      <c r="F65" s="660">
        <f t="shared" si="50"/>
        <v>3664.7715946843859</v>
      </c>
      <c r="G65" s="660">
        <f t="shared" si="50"/>
        <v>3425.6185953511622</v>
      </c>
      <c r="H65" s="660">
        <f t="shared" si="50"/>
        <v>2948.1622538150514</v>
      </c>
      <c r="I65" s="660">
        <f t="shared" si="50"/>
        <v>2941.8976015113417</v>
      </c>
      <c r="J65" s="660">
        <f t="shared" si="50"/>
        <v>2856.5731203974356</v>
      </c>
      <c r="K65" s="660">
        <f t="shared" si="50"/>
        <v>2690.8212440474049</v>
      </c>
      <c r="L65" s="660">
        <f t="shared" si="50"/>
        <v>2448.8224323828545</v>
      </c>
      <c r="M65" s="660">
        <f t="shared" si="50"/>
        <v>2341.2085009657767</v>
      </c>
      <c r="N65" s="660">
        <f t="shared" si="50"/>
        <v>2790.995734606829</v>
      </c>
      <c r="O65" s="660">
        <f t="shared" si="50"/>
        <v>3060.823967268067</v>
      </c>
      <c r="P65" s="660">
        <f t="shared" si="50"/>
        <v>3260.5695049269971</v>
      </c>
      <c r="Q65" s="660">
        <f t="shared" si="50"/>
        <v>3001.0652887682331</v>
      </c>
      <c r="R65" s="660">
        <f t="shared" si="35"/>
        <v>3050.6137703482468</v>
      </c>
      <c r="S65" s="660">
        <f t="shared" si="35"/>
        <v>2885.7702393625927</v>
      </c>
      <c r="T65" s="660">
        <f t="shared" si="35"/>
        <v>3053.8442659346865</v>
      </c>
      <c r="U65" s="660">
        <f t="shared" si="35"/>
        <v>3181.6972471182567</v>
      </c>
      <c r="V65" s="660">
        <f t="shared" ref="V65" si="51">(V45*1000)/V22</f>
        <v>2562.4182308598906</v>
      </c>
      <c r="W65" s="850"/>
      <c r="X65" s="850"/>
    </row>
    <row r="68" spans="1:24">
      <c r="N68" s="198"/>
    </row>
    <row r="70" spans="1:24">
      <c r="A70" t="s">
        <v>500</v>
      </c>
    </row>
    <row r="71" spans="1:24">
      <c r="A71" t="s">
        <v>498</v>
      </c>
      <c r="B71" t="s">
        <v>164</v>
      </c>
      <c r="C71" t="s">
        <v>497</v>
      </c>
    </row>
    <row r="72" spans="1:24">
      <c r="A72" t="s">
        <v>496</v>
      </c>
      <c r="B72">
        <v>3.55</v>
      </c>
    </row>
    <row r="73" spans="1:24">
      <c r="A73" t="s">
        <v>495</v>
      </c>
      <c r="B73">
        <v>8.6999999999999993</v>
      </c>
      <c r="C73">
        <v>39.31</v>
      </c>
      <c r="D73">
        <f>C73/B73*1000</f>
        <v>4518.3908045977014</v>
      </c>
      <c r="I73" s="56">
        <f>D73/8765</f>
        <v>0.51550379972592142</v>
      </c>
    </row>
    <row r="74" spans="1:24">
      <c r="A74" t="s">
        <v>210</v>
      </c>
      <c r="B74">
        <v>47.63</v>
      </c>
      <c r="C74">
        <f>108.14+2.094</f>
        <v>110.23399999999999</v>
      </c>
      <c r="D74">
        <f>C74/B74*1000</f>
        <v>2314.3816922107912</v>
      </c>
      <c r="I74" s="56">
        <f>D74/8765</f>
        <v>0.26404811091965674</v>
      </c>
    </row>
    <row r="75" spans="1:24">
      <c r="A75" t="s">
        <v>494</v>
      </c>
      <c r="B75">
        <v>3.2</v>
      </c>
      <c r="C75">
        <v>5.0940000000000003</v>
      </c>
      <c r="D75">
        <f>C75/B75*1000</f>
        <v>1591.875</v>
      </c>
      <c r="I75" s="56">
        <f>D75/8765</f>
        <v>0.18161722760981175</v>
      </c>
    </row>
    <row r="76" spans="1:24">
      <c r="A76" t="s">
        <v>246</v>
      </c>
      <c r="B76">
        <v>2.86</v>
      </c>
      <c r="C76">
        <f>20.03+7.65</f>
        <v>27.68</v>
      </c>
      <c r="D76">
        <f>C76/(B76+B72)*1000</f>
        <v>4318.2527301092041</v>
      </c>
      <c r="I76" s="56">
        <f>D76/8765</f>
        <v>0.49267002054868275</v>
      </c>
    </row>
    <row r="78" spans="1:24">
      <c r="B78">
        <f>SUM(B72:B77)</f>
        <v>65.940000000000012</v>
      </c>
      <c r="C78">
        <f>SUM(C72:C77)</f>
        <v>182.31799999999998</v>
      </c>
      <c r="D78">
        <f>C78/(B78+B74)*1000</f>
        <v>1605.3359161750459</v>
      </c>
      <c r="I78" s="56">
        <f>D78/8765</f>
        <v>0.18315298530234408</v>
      </c>
    </row>
    <row r="79" spans="1:24">
      <c r="A79" t="s">
        <v>499</v>
      </c>
    </row>
    <row r="80" spans="1:24">
      <c r="A80" t="s">
        <v>498</v>
      </c>
      <c r="B80" t="s">
        <v>164</v>
      </c>
      <c r="C80" t="s">
        <v>497</v>
      </c>
    </row>
    <row r="81" spans="1:9">
      <c r="A81" t="s">
        <v>496</v>
      </c>
      <c r="B81">
        <v>3.55</v>
      </c>
    </row>
    <row r="82" spans="1:9">
      <c r="A82" t="s">
        <v>495</v>
      </c>
      <c r="B82">
        <v>8.6999999999999993</v>
      </c>
      <c r="C82">
        <v>35.932000000000002</v>
      </c>
      <c r="D82">
        <f>C82/B82*1000</f>
        <v>4130.1149425287358</v>
      </c>
      <c r="I82" s="56">
        <f>D82/8765</f>
        <v>0.47120535567926247</v>
      </c>
    </row>
    <row r="83" spans="1:9">
      <c r="A83" t="s">
        <v>210</v>
      </c>
      <c r="B83">
        <v>47.63</v>
      </c>
      <c r="C83">
        <f>148.313+4.5808</f>
        <v>152.8938</v>
      </c>
      <c r="D83">
        <f>C83/B83*1000</f>
        <v>3210.0314927566656</v>
      </c>
      <c r="I83" s="56">
        <f>D83/8765</f>
        <v>0.36623291417645926</v>
      </c>
    </row>
    <row r="84" spans="1:9">
      <c r="A84" t="s">
        <v>494</v>
      </c>
      <c r="B84">
        <v>3.2</v>
      </c>
      <c r="C84">
        <v>8.9269999999999996</v>
      </c>
      <c r="D84">
        <f>C84/B84*1000</f>
        <v>2789.6875</v>
      </c>
      <c r="I84" s="56">
        <f>D84/8765</f>
        <v>0.31827581289218482</v>
      </c>
    </row>
    <row r="85" spans="1:9">
      <c r="A85" t="s">
        <v>246</v>
      </c>
      <c r="B85">
        <v>2.86</v>
      </c>
      <c r="C85">
        <f>20.4484+2.0348</f>
        <v>22.4832</v>
      </c>
      <c r="D85">
        <f>C85/(B85+B81)*1000</f>
        <v>3507.5195007800312</v>
      </c>
      <c r="I85" s="56">
        <f>D85/8765</f>
        <v>0.4001733600433578</v>
      </c>
    </row>
  </sheetData>
  <mergeCells count="3">
    <mergeCell ref="A4:A5"/>
    <mergeCell ref="A29:A30"/>
    <mergeCell ref="A49:A5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4EF6-32A3-40C1-B695-3CFE1534E8E5}">
  <sheetPr codeName="Foglio34"/>
  <dimension ref="A1:AH81"/>
  <sheetViews>
    <sheetView zoomScale="85" zoomScaleNormal="85" workbookViewId="0">
      <pane xSplit="2" ySplit="2" topLeftCell="O3" activePane="bottomRight" state="frozen"/>
      <selection activeCell="Z17" sqref="Z17:AC23"/>
      <selection pane="topRight" activeCell="Z17" sqref="Z17:AC23"/>
      <selection pane="bottomLeft" activeCell="Z17" sqref="Z17:AC23"/>
      <selection pane="bottomRight" activeCell="Z17" sqref="Z17:AC23"/>
    </sheetView>
  </sheetViews>
  <sheetFormatPr defaultRowHeight="14.4"/>
  <cols>
    <col min="1" max="1" width="52.77734375" bestFit="1" customWidth="1"/>
    <col min="2" max="2" width="8.77734375" bestFit="1" customWidth="1"/>
    <col min="3" max="6" width="11.77734375" bestFit="1" customWidth="1"/>
    <col min="7" max="7" width="10.5546875" bestFit="1" customWidth="1"/>
    <col min="8" max="8" width="11.77734375" bestFit="1" customWidth="1"/>
    <col min="9" max="11" width="10.5546875" bestFit="1" customWidth="1"/>
    <col min="12" max="12" width="12.44140625" bestFit="1" customWidth="1"/>
    <col min="13" max="13" width="10.5546875" bestFit="1" customWidth="1"/>
    <col min="14" max="21" width="10.5546875" customWidth="1"/>
    <col min="22" max="22" width="13" bestFit="1" customWidth="1"/>
    <col min="23" max="24" width="6.77734375" customWidth="1"/>
    <col min="25" max="33" width="6.21875" customWidth="1"/>
  </cols>
  <sheetData>
    <row r="1" spans="1:33">
      <c r="A1" s="68"/>
      <c r="B1" s="210" t="s">
        <v>552</v>
      </c>
      <c r="C1" s="210"/>
    </row>
    <row r="2" spans="1:33">
      <c r="A2" s="68" t="s">
        <v>551</v>
      </c>
      <c r="B2" s="210" t="s">
        <v>550</v>
      </c>
      <c r="C2" s="411">
        <f t="shared" ref="C2:K2" si="0">D2-1</f>
        <v>2005</v>
      </c>
      <c r="D2" s="68">
        <f t="shared" si="0"/>
        <v>2006</v>
      </c>
      <c r="E2" s="68">
        <f t="shared" si="0"/>
        <v>2007</v>
      </c>
      <c r="F2" s="68">
        <f t="shared" si="0"/>
        <v>2008</v>
      </c>
      <c r="G2" s="68">
        <f t="shared" si="0"/>
        <v>2009</v>
      </c>
      <c r="H2" s="411">
        <f t="shared" si="0"/>
        <v>2010</v>
      </c>
      <c r="I2" s="68">
        <f t="shared" si="0"/>
        <v>2011</v>
      </c>
      <c r="J2" s="68">
        <f t="shared" si="0"/>
        <v>2012</v>
      </c>
      <c r="K2" s="68">
        <f t="shared" si="0"/>
        <v>2013</v>
      </c>
      <c r="L2" s="68">
        <v>2014</v>
      </c>
      <c r="M2" s="411">
        <v>2015</v>
      </c>
      <c r="N2" s="411">
        <v>2016</v>
      </c>
      <c r="O2" s="411">
        <v>2017</v>
      </c>
      <c r="P2" s="411">
        <v>2018</v>
      </c>
      <c r="Q2" s="411">
        <f>P2+1</f>
        <v>2019</v>
      </c>
      <c r="R2" s="411">
        <f>Q2+1</f>
        <v>2020</v>
      </c>
      <c r="S2" s="411">
        <v>2021</v>
      </c>
      <c r="T2" s="411">
        <v>2022</v>
      </c>
      <c r="U2" s="411">
        <v>2023</v>
      </c>
    </row>
    <row r="3" spans="1:33">
      <c r="A3" t="s">
        <v>528</v>
      </c>
      <c r="B3" s="686" t="s">
        <v>531</v>
      </c>
      <c r="C3" s="687">
        <v>84474.855549145228</v>
      </c>
      <c r="D3" s="684">
        <v>79128.095401181476</v>
      </c>
      <c r="E3" s="684">
        <v>68772.925384422619</v>
      </c>
      <c r="F3" s="684">
        <v>59517.353786288761</v>
      </c>
      <c r="G3" s="684">
        <v>50595.31851637402</v>
      </c>
      <c r="H3" s="687">
        <v>54416.21771964732</v>
      </c>
      <c r="I3" s="684">
        <v>50417.914932202541</v>
      </c>
      <c r="J3" s="684">
        <v>50563.364712505136</v>
      </c>
      <c r="K3" s="684">
        <v>43044.7340752214</v>
      </c>
      <c r="L3" s="684">
        <v>36965.389915877844</v>
      </c>
      <c r="M3" s="687">
        <v>37069.562458096814</v>
      </c>
      <c r="N3" s="687">
        <v>33306.953603768467</v>
      </c>
      <c r="O3" s="687">
        <v>32327.179773659467</v>
      </c>
      <c r="P3" s="687">
        <v>28248.717481334887</v>
      </c>
      <c r="Q3" s="687">
        <v>26682.573549442121</v>
      </c>
      <c r="R3" s="723">
        <v>23847.141224824318</v>
      </c>
      <c r="S3" s="723">
        <v>25069.8409135851</v>
      </c>
      <c r="T3" s="723">
        <v>27200.169580123198</v>
      </c>
      <c r="U3" s="723">
        <v>20365.187993829859</v>
      </c>
      <c r="W3" s="144"/>
      <c r="X3" s="144"/>
      <c r="Y3" s="144"/>
      <c r="Z3" s="144"/>
      <c r="AA3" s="144"/>
      <c r="AB3" s="144"/>
      <c r="AC3" s="144"/>
      <c r="AD3" s="144"/>
      <c r="AE3" s="144"/>
      <c r="AF3" s="144"/>
      <c r="AG3" s="144"/>
    </row>
    <row r="4" spans="1:33">
      <c r="A4" t="s">
        <v>527</v>
      </c>
      <c r="B4" s="686" t="s">
        <v>531</v>
      </c>
      <c r="C4" s="687">
        <v>112224.0683</v>
      </c>
      <c r="D4" s="684">
        <v>115721.981</v>
      </c>
      <c r="E4" s="684">
        <v>81567.234526</v>
      </c>
      <c r="F4" s="684">
        <v>57981.481</v>
      </c>
      <c r="G4" s="684">
        <v>45310.140199999994</v>
      </c>
      <c r="H4" s="687">
        <v>32788.449681444443</v>
      </c>
      <c r="I4" s="684">
        <v>29317.929936226745</v>
      </c>
      <c r="J4" s="684">
        <v>33379.500174846617</v>
      </c>
      <c r="K4" s="684">
        <v>24317.603924058818</v>
      </c>
      <c r="L4" s="684">
        <v>18985.697324175573</v>
      </c>
      <c r="M4" s="687">
        <v>17487.867405371646</v>
      </c>
      <c r="N4" s="687">
        <v>12040.847859918476</v>
      </c>
      <c r="O4" s="687">
        <v>9410.9071854743725</v>
      </c>
      <c r="P4" s="687">
        <v>8858.6504569155604</v>
      </c>
      <c r="Q4" s="687">
        <v>6706.3781564231613</v>
      </c>
      <c r="R4" s="687">
        <v>4976.675580245932</v>
      </c>
      <c r="S4" s="687">
        <v>4721.016370961459</v>
      </c>
      <c r="T4" s="687">
        <v>6927.4908139869422</v>
      </c>
      <c r="U4" s="687">
        <v>4191.482860005347</v>
      </c>
      <c r="W4" s="144"/>
      <c r="X4" s="144"/>
      <c r="Y4" s="144"/>
      <c r="Z4" s="144"/>
      <c r="AA4" s="144"/>
      <c r="AB4" s="144"/>
      <c r="AC4" s="144"/>
      <c r="AD4" s="144"/>
      <c r="AE4" s="144"/>
      <c r="AF4" s="144"/>
      <c r="AG4" s="144"/>
    </row>
    <row r="5" spans="1:33">
      <c r="A5" t="s">
        <v>526</v>
      </c>
      <c r="B5" s="686" t="s">
        <v>531</v>
      </c>
      <c r="C5" s="687">
        <v>3958.4911379953996</v>
      </c>
      <c r="D5" s="684">
        <v>4069.0613954770452</v>
      </c>
      <c r="E5" s="684">
        <v>3971.4911709981147</v>
      </c>
      <c r="F5" s="684">
        <v>3902.8148996265804</v>
      </c>
      <c r="G5" s="684">
        <v>3343.484396547874</v>
      </c>
      <c r="H5" s="687">
        <v>3282.0943445286002</v>
      </c>
      <c r="I5" s="684">
        <v>3114.6638720224505</v>
      </c>
      <c r="J5" s="684">
        <v>2945.5250771026244</v>
      </c>
      <c r="K5" s="684">
        <v>2497.4798996932982</v>
      </c>
      <c r="L5" s="684">
        <v>2237.435752865832</v>
      </c>
      <c r="M5" s="687">
        <v>2516.0407740498745</v>
      </c>
      <c r="N5" s="687">
        <v>2581.3982674173531</v>
      </c>
      <c r="O5" s="687">
        <v>2748.9844064281097</v>
      </c>
      <c r="P5" s="687">
        <v>2501.8737415709306</v>
      </c>
      <c r="Q5" s="687">
        <v>2580.8272998683456</v>
      </c>
      <c r="R5" s="687">
        <v>2400.6895557689131</v>
      </c>
      <c r="S5" s="687">
        <v>2566.0706561024076</v>
      </c>
      <c r="T5" s="687">
        <v>2616.0353780333717</v>
      </c>
      <c r="U5" s="687">
        <v>2055.0593548476468</v>
      </c>
      <c r="W5" s="144"/>
      <c r="X5" s="144"/>
      <c r="Y5" s="144"/>
      <c r="Z5" s="144"/>
      <c r="AA5" s="144"/>
      <c r="AB5" s="144"/>
      <c r="AC5" s="144"/>
      <c r="AD5" s="144"/>
      <c r="AE5" s="144"/>
      <c r="AF5" s="144"/>
      <c r="AG5" s="144"/>
    </row>
    <row r="6" spans="1:33">
      <c r="A6" t="s">
        <v>525</v>
      </c>
      <c r="B6" s="686" t="s">
        <v>531</v>
      </c>
      <c r="C6" s="687">
        <v>29237.005703389827</v>
      </c>
      <c r="D6" s="684">
        <v>30209.006791284381</v>
      </c>
      <c r="E6" s="684">
        <v>30308.999989588818</v>
      </c>
      <c r="F6" s="684">
        <v>30045.762372504309</v>
      </c>
      <c r="G6" s="684">
        <v>25787.117730821825</v>
      </c>
      <c r="H6" s="687">
        <v>25768.18641201342</v>
      </c>
      <c r="I6" s="684">
        <v>24533.21545433316</v>
      </c>
      <c r="J6" s="684">
        <v>23222.28440571481</v>
      </c>
      <c r="K6" s="684">
        <v>19719.8652778084</v>
      </c>
      <c r="L6" s="684">
        <v>17667.521056769336</v>
      </c>
      <c r="M6" s="687">
        <v>19835.806080290924</v>
      </c>
      <c r="N6" s="687">
        <v>20492.727370787525</v>
      </c>
      <c r="O6" s="687">
        <v>21832.838785468419</v>
      </c>
      <c r="P6" s="687">
        <v>19917.909230225636</v>
      </c>
      <c r="Q6" s="687">
        <v>20548.536704578761</v>
      </c>
      <c r="R6" s="687">
        <v>19113.327037614752</v>
      </c>
      <c r="S6" s="687">
        <v>20359.219754929269</v>
      </c>
      <c r="T6" s="687">
        <v>20705.760595862124</v>
      </c>
      <c r="U6" s="687">
        <v>16309.787927250531</v>
      </c>
      <c r="W6" s="144"/>
      <c r="X6" s="144"/>
      <c r="Y6" s="144"/>
      <c r="Z6" s="144"/>
      <c r="AA6" s="144"/>
      <c r="AB6" s="144"/>
      <c r="AC6" s="144"/>
      <c r="AD6" s="144"/>
      <c r="AE6" s="144"/>
      <c r="AF6" s="144"/>
      <c r="AG6" s="144"/>
    </row>
    <row r="7" spans="1:33">
      <c r="A7" t="s">
        <v>524</v>
      </c>
      <c r="B7" s="686" t="s">
        <v>531</v>
      </c>
      <c r="C7" s="687">
        <v>3965.3196853307627</v>
      </c>
      <c r="D7" s="684">
        <v>4047.3103270586862</v>
      </c>
      <c r="E7" s="684">
        <v>3852.5978103407797</v>
      </c>
      <c r="F7" s="684">
        <v>3851.3223118628839</v>
      </c>
      <c r="G7" s="684">
        <v>3651.0078250050383</v>
      </c>
      <c r="H7" s="687">
        <v>3569.2995174633807</v>
      </c>
      <c r="I7" s="684">
        <v>4019.4044809823927</v>
      </c>
      <c r="J7" s="684">
        <v>4092.003421936221</v>
      </c>
      <c r="K7" s="684">
        <v>4394.4762527432977</v>
      </c>
      <c r="L7" s="684">
        <v>4363.9279851875053</v>
      </c>
      <c r="M7" s="687">
        <v>4202.7072728622143</v>
      </c>
      <c r="N7" s="687">
        <v>4286.370584333823</v>
      </c>
      <c r="O7" s="687">
        <v>4327.0414192019689</v>
      </c>
      <c r="P7" s="687">
        <v>4130.5283048979863</v>
      </c>
      <c r="Q7" s="687">
        <v>4133.7298179541667</v>
      </c>
      <c r="R7" s="687">
        <v>4050.5466370553549</v>
      </c>
      <c r="S7" s="687">
        <v>4041.0852517499252</v>
      </c>
      <c r="T7" s="687">
        <v>3948.5977996591018</v>
      </c>
      <c r="U7" s="687">
        <v>3130.2467498154633</v>
      </c>
      <c r="W7" s="144"/>
      <c r="X7" s="144"/>
      <c r="Y7" s="144"/>
      <c r="Z7" s="144"/>
      <c r="AA7" s="144"/>
      <c r="AB7" s="144"/>
      <c r="AC7" s="144"/>
      <c r="AD7" s="144"/>
      <c r="AE7" s="144"/>
      <c r="AF7" s="144"/>
      <c r="AG7" s="144"/>
    </row>
    <row r="8" spans="1:33">
      <c r="A8" t="s">
        <v>523</v>
      </c>
      <c r="B8" s="686" t="s">
        <v>531</v>
      </c>
      <c r="C8" s="687">
        <v>1023.6423316157856</v>
      </c>
      <c r="D8" s="684">
        <v>1036.5401305844753</v>
      </c>
      <c r="E8" s="684">
        <v>980.94968997528758</v>
      </c>
      <c r="F8" s="684">
        <v>971.68978035915995</v>
      </c>
      <c r="G8" s="684">
        <v>916.51713382700018</v>
      </c>
      <c r="H8" s="687">
        <v>902.50682892896316</v>
      </c>
      <c r="I8" s="684">
        <v>1006.0041418651768</v>
      </c>
      <c r="J8" s="684">
        <v>1073.5321602599115</v>
      </c>
      <c r="K8" s="684">
        <v>1087.208556287354</v>
      </c>
      <c r="L8" s="684">
        <v>1071.5036709478745</v>
      </c>
      <c r="M8" s="687">
        <v>1045.9774712373312</v>
      </c>
      <c r="N8" s="687">
        <v>947.8496867583076</v>
      </c>
      <c r="O8" s="687">
        <v>907.64673976065865</v>
      </c>
      <c r="P8" s="687">
        <v>838.25000327243151</v>
      </c>
      <c r="Q8" s="687">
        <v>722.38466625447609</v>
      </c>
      <c r="R8" s="687">
        <v>654.76157981077131</v>
      </c>
      <c r="S8" s="687">
        <v>655.20080628722462</v>
      </c>
      <c r="T8" s="687">
        <v>746.38480097372644</v>
      </c>
      <c r="U8" s="687">
        <v>530.35958520475685</v>
      </c>
      <c r="W8" s="144"/>
      <c r="X8" s="144"/>
      <c r="Y8" s="144"/>
      <c r="Z8" s="144"/>
      <c r="AA8" s="144"/>
      <c r="AB8" s="144"/>
      <c r="AC8" s="144"/>
      <c r="AD8" s="144"/>
      <c r="AE8" s="144"/>
      <c r="AF8" s="144"/>
      <c r="AG8" s="144"/>
    </row>
    <row r="9" spans="1:33">
      <c r="A9" t="s">
        <v>522</v>
      </c>
      <c r="B9" s="686" t="s">
        <v>531</v>
      </c>
      <c r="C9" s="687">
        <v>197.0059989621455</v>
      </c>
      <c r="D9" s="684">
        <v>200.81788526523297</v>
      </c>
      <c r="E9" s="684">
        <v>199.90539679682627</v>
      </c>
      <c r="F9" s="684">
        <v>198.54971300430799</v>
      </c>
      <c r="G9" s="684">
        <v>181.46853994692324</v>
      </c>
      <c r="H9" s="687">
        <v>184.01901460475358</v>
      </c>
      <c r="I9" s="684">
        <v>198.31138684551743</v>
      </c>
      <c r="J9" s="684">
        <v>216.24685565993082</v>
      </c>
      <c r="K9" s="684">
        <v>200.88486786892466</v>
      </c>
      <c r="L9" s="684">
        <v>192.5319699782348</v>
      </c>
      <c r="M9" s="687">
        <v>193.8849053191893</v>
      </c>
      <c r="N9" s="687">
        <v>158.07174230931381</v>
      </c>
      <c r="O9" s="687">
        <v>144.57726572822006</v>
      </c>
      <c r="P9" s="687">
        <v>126.87276680827969</v>
      </c>
      <c r="Q9" s="687">
        <v>86.644897612847998</v>
      </c>
      <c r="R9" s="687">
        <v>64.235255305007996</v>
      </c>
      <c r="S9" s="687">
        <v>67.145021167968011</v>
      </c>
      <c r="T9" s="687">
        <v>105.31763310047999</v>
      </c>
      <c r="U9" s="687">
        <v>61.565904752063993</v>
      </c>
      <c r="W9" s="144"/>
      <c r="X9" s="144"/>
      <c r="Y9" s="144"/>
      <c r="Z9" s="144"/>
      <c r="AA9" s="144"/>
      <c r="AB9" s="144"/>
      <c r="AC9" s="144"/>
      <c r="AD9" s="144"/>
      <c r="AE9" s="144"/>
      <c r="AF9" s="144"/>
      <c r="AG9" s="144"/>
    </row>
    <row r="10" spans="1:33">
      <c r="A10" t="s">
        <v>521</v>
      </c>
      <c r="B10" s="686" t="s">
        <v>531</v>
      </c>
      <c r="C10" s="687">
        <v>3505.2428</v>
      </c>
      <c r="D10" s="684">
        <v>3217.7103360000001</v>
      </c>
      <c r="E10" s="684">
        <v>2348.5734500000003</v>
      </c>
      <c r="F10" s="684">
        <v>2020.7203408267846</v>
      </c>
      <c r="G10" s="684">
        <v>1687.382281177318</v>
      </c>
      <c r="H10" s="687">
        <v>1659.9287838099408</v>
      </c>
      <c r="I10" s="684">
        <v>1107.0825137259546</v>
      </c>
      <c r="J10" s="684">
        <v>958.93437414811194</v>
      </c>
      <c r="K10" s="684">
        <v>902.87519450597779</v>
      </c>
      <c r="L10" s="684">
        <v>824.43508163568731</v>
      </c>
      <c r="M10" s="687">
        <v>769.57136976148331</v>
      </c>
      <c r="N10" s="687">
        <v>663.23937510535984</v>
      </c>
      <c r="O10" s="687">
        <v>619.55036349240356</v>
      </c>
      <c r="P10" s="687">
        <v>502.77025482484248</v>
      </c>
      <c r="Q10" s="687">
        <v>456.71240516462103</v>
      </c>
      <c r="R10" s="687">
        <v>396.27087594613579</v>
      </c>
      <c r="S10" s="687">
        <v>410.85179505451902</v>
      </c>
      <c r="T10" s="687">
        <v>465.08406069441787</v>
      </c>
      <c r="U10" s="687">
        <v>302.39615245162287</v>
      </c>
      <c r="W10" s="144"/>
      <c r="X10" s="144"/>
      <c r="Y10" s="144"/>
      <c r="Z10" s="144"/>
      <c r="AA10" s="144"/>
      <c r="AB10" s="144"/>
      <c r="AC10" s="144"/>
      <c r="AD10" s="144"/>
      <c r="AE10" s="144"/>
      <c r="AF10" s="144"/>
      <c r="AG10" s="144"/>
    </row>
    <row r="11" spans="1:33">
      <c r="B11" s="686"/>
      <c r="C11" s="687"/>
      <c r="D11" s="684"/>
      <c r="E11" s="684"/>
      <c r="F11" s="684"/>
      <c r="G11" s="684"/>
      <c r="H11" s="687"/>
      <c r="I11" s="684"/>
      <c r="J11" s="684"/>
      <c r="K11" s="684"/>
      <c r="L11" s="684"/>
      <c r="M11" s="688"/>
      <c r="N11" s="687"/>
      <c r="O11" s="687"/>
      <c r="P11" s="687"/>
      <c r="Q11" s="687"/>
      <c r="R11" s="687"/>
      <c r="S11" s="687"/>
      <c r="T11" s="687"/>
      <c r="U11" s="687"/>
    </row>
    <row r="12" spans="1:33">
      <c r="A12" s="68" t="s">
        <v>549</v>
      </c>
      <c r="B12" s="686" t="s">
        <v>189</v>
      </c>
      <c r="C12" s="687">
        <v>1709208.0368234678</v>
      </c>
      <c r="D12" s="687">
        <v>1759265.056202238</v>
      </c>
      <c r="E12" s="687">
        <v>1738592.141916509</v>
      </c>
      <c r="F12" s="687">
        <v>1718078.8012298853</v>
      </c>
      <c r="G12" s="687">
        <v>1490216.7734298953</v>
      </c>
      <c r="H12" s="687">
        <v>1480778.4536627668</v>
      </c>
      <c r="I12" s="687">
        <v>1434774.0099164343</v>
      </c>
      <c r="J12" s="687">
        <v>1386070.412367905</v>
      </c>
      <c r="K12" s="687">
        <v>1205257.3820802006</v>
      </c>
      <c r="L12" s="687">
        <v>1097941.7215297462</v>
      </c>
      <c r="M12" s="687">
        <v>1205336.034296135</v>
      </c>
      <c r="N12" s="687">
        <v>1205807.204516849</v>
      </c>
      <c r="O12" s="687">
        <v>1260761.7654638679</v>
      </c>
      <c r="P12" s="687">
        <v>1147923.0296492097</v>
      </c>
      <c r="Q12" s="687">
        <v>1146779.0941889572</v>
      </c>
      <c r="R12" s="687">
        <v>1056626.4467420476</v>
      </c>
      <c r="S12" s="687">
        <v>1120719.3132897653</v>
      </c>
      <c r="T12" s="687">
        <v>1166758.5713552036</v>
      </c>
      <c r="U12" s="687">
        <v>901582.64637792285</v>
      </c>
    </row>
    <row r="13" spans="1:33">
      <c r="A13" s="68" t="s">
        <v>548</v>
      </c>
      <c r="B13" s="686" t="s">
        <v>189</v>
      </c>
      <c r="C13" s="687">
        <f>'23'!B11*41.868</f>
        <v>2023873.8404114232</v>
      </c>
      <c r="D13" s="687">
        <f>'23'!C11*41.868</f>
        <v>2065530.0068622003</v>
      </c>
      <c r="E13" s="687">
        <f>'23'!D11*41.868</f>
        <v>2077449.6137727604</v>
      </c>
      <c r="F13" s="687">
        <f>'23'!E11*41.868</f>
        <v>2017967.0118080406</v>
      </c>
      <c r="G13" s="687">
        <f>'23'!F11*41.868</f>
        <v>1750703.8873359598</v>
      </c>
      <c r="H13" s="687">
        <f>'23'!G11*41.868</f>
        <v>1772770.6462161425</v>
      </c>
      <c r="I13" s="687">
        <f>'23'!H11*41.868</f>
        <v>1751248.9174237205</v>
      </c>
      <c r="J13" s="687">
        <f>'23'!I11*41.868</f>
        <v>1687223.33726544</v>
      </c>
      <c r="K13" s="687">
        <f>'23'!J11*41.868</f>
        <v>1477821.1852242718</v>
      </c>
      <c r="L13" s="687">
        <f>'23'!K11*41.868</f>
        <v>1375894.2675600001</v>
      </c>
      <c r="M13" s="687">
        <f>'23'!L11*41.868</f>
        <v>1447690.5938432498</v>
      </c>
      <c r="N13" s="687">
        <f>'23'!M11*41.868</f>
        <v>1464441.8789979999</v>
      </c>
      <c r="O13" s="687">
        <f>'23'!N11*41.868</f>
        <v>1513009.0853007</v>
      </c>
      <c r="P13" s="687">
        <f>'23'!O11*41.868</f>
        <v>1395905.2320175001</v>
      </c>
      <c r="Q13" s="687">
        <f>'23'!P11*41.868</f>
        <v>1392968.1790776004</v>
      </c>
      <c r="R13" s="687">
        <f>'23'!Q11*41.868</f>
        <v>1286476.9014999999</v>
      </c>
      <c r="S13" s="687">
        <f>'23'!R11*41.868</f>
        <v>1343656.62849</v>
      </c>
      <c r="T13" s="687">
        <f>'23'!S11*41.868</f>
        <v>1416630.2151999997</v>
      </c>
      <c r="U13" s="687">
        <f>'23'!T11*41.868</f>
        <v>1142759.4018900001</v>
      </c>
    </row>
    <row r="14" spans="1:33">
      <c r="A14" s="68" t="s">
        <v>547</v>
      </c>
      <c r="B14" s="686" t="s">
        <v>189</v>
      </c>
      <c r="C14" s="687">
        <f>'23'!B6*41.868</f>
        <v>2238359.301624503</v>
      </c>
      <c r="D14" s="687">
        <f>'23'!C6*41.868</f>
        <v>2299298.9603522406</v>
      </c>
      <c r="E14" s="687">
        <f>'23'!D6*41.868</f>
        <v>2305603.5053382008</v>
      </c>
      <c r="F14" s="687">
        <f>'23'!E6*41.868</f>
        <v>2240016.1482967203</v>
      </c>
      <c r="G14" s="687">
        <f>'23'!F6*41.868</f>
        <v>1957552.3737349201</v>
      </c>
      <c r="H14" s="687">
        <f>'23'!G6*41.868</f>
        <v>1999738.3456300723</v>
      </c>
      <c r="I14" s="687">
        <f>'23'!H6*41.868</f>
        <v>1995875.4419946005</v>
      </c>
      <c r="J14" s="687">
        <f>'23'!I6*41.868</f>
        <v>1911934.0714996804</v>
      </c>
      <c r="K14" s="687">
        <f>'23'!J6*41.868</f>
        <v>1720717.8712430401</v>
      </c>
      <c r="L14" s="687">
        <f>'23'!K6*41.868</f>
        <v>1603564.8374455201</v>
      </c>
      <c r="M14" s="687">
        <f>'23'!L6*41.868</f>
        <v>1689085.5573435</v>
      </c>
      <c r="N14" s="687">
        <f>'23'!M6*41.868</f>
        <v>1711824.3295679998</v>
      </c>
      <c r="O14" s="687">
        <f>'23'!N6*41.868</f>
        <v>1760284.8846290002</v>
      </c>
      <c r="P14" s="687">
        <f>'23'!O6*41.868</f>
        <v>1637386.9317100001</v>
      </c>
      <c r="Q14" s="687">
        <f>'23'!P6*41.868</f>
        <v>1636891.6425432002</v>
      </c>
      <c r="R14" s="687">
        <f>'23'!Q6*41.868</f>
        <v>1526461.1319600001</v>
      </c>
      <c r="S14" s="687">
        <f>'23'!R6*41.868</f>
        <v>1576118.5674000003</v>
      </c>
      <c r="T14" s="687">
        <f>'23'!S6*41.868</f>
        <v>1646068.0229599997</v>
      </c>
      <c r="U14" s="687">
        <f>'23'!T6*41.868</f>
        <v>1349813.96661</v>
      </c>
      <c r="V14" s="199"/>
      <c r="W14" s="284"/>
    </row>
    <row r="15" spans="1:33">
      <c r="A15" s="68" t="s">
        <v>546</v>
      </c>
      <c r="B15" s="686" t="s">
        <v>199</v>
      </c>
      <c r="C15" s="687">
        <f>('1'!Q12+'6'!Q9)*1000</f>
        <v>280406.8</v>
      </c>
      <c r="D15" s="687">
        <f>('1'!R12+'6'!R9)*1000</f>
        <v>290256.8</v>
      </c>
      <c r="E15" s="687">
        <f>('1'!S12+'6'!S9)*1000</f>
        <v>290458.2</v>
      </c>
      <c r="F15" s="687">
        <f>('1'!T12+'6'!T9)*1000</f>
        <v>292875.60000000003</v>
      </c>
      <c r="G15" s="687">
        <f>('1'!U12+'6'!U9)*1000</f>
        <v>264791.00000000006</v>
      </c>
      <c r="H15" s="687">
        <f>('1'!V12+'6'!V9)*1000</f>
        <v>270630.60000000003</v>
      </c>
      <c r="I15" s="687">
        <f>('1'!W12+'6'!W9)*1000</f>
        <v>263484.62</v>
      </c>
      <c r="J15" s="687">
        <f>('1'!X12+'6'!X9)*1000</f>
        <v>249276.4</v>
      </c>
      <c r="K15" s="687">
        <f>('1'!Y12+'6'!Y9)*1000</f>
        <v>233022.1</v>
      </c>
      <c r="L15" s="687">
        <f>('1'!Z12+'6'!Z9)*1000</f>
        <v>219913.8</v>
      </c>
      <c r="M15" s="687">
        <f>('1'!AA12+'6'!AA9)*1000</f>
        <v>226131.09999999998</v>
      </c>
      <c r="N15" s="687">
        <f>('1'!AB12+'6'!AB9)*1000</f>
        <v>230311.69999999998</v>
      </c>
      <c r="O15" s="687">
        <f>('1'!AC12+'6'!AC9)*1000</f>
        <v>235715.00000000003</v>
      </c>
      <c r="P15" s="687">
        <f>('1'!AD12+'6'!AD9)*1000</f>
        <v>228795.02418432003</v>
      </c>
      <c r="Q15" s="687">
        <f>('1'!AE12+'6'!AE9)*1000</f>
        <v>229641.92998637003</v>
      </c>
      <c r="R15" s="687">
        <f>('1'!AF12+'6'!AF9)*1000</f>
        <v>216161.88570907005</v>
      </c>
      <c r="S15" s="687">
        <f>('1'!AG12+'6'!AG9)*1000</f>
        <v>222931.55636031998</v>
      </c>
      <c r="T15" s="687">
        <f>('1'!AH12+'6'!AH9)*1000</f>
        <v>219572.24072983002</v>
      </c>
      <c r="U15" s="687">
        <f>('1'!AI12+'6'!AI9)*1000</f>
        <v>190266.80795860474</v>
      </c>
    </row>
    <row r="16" spans="1:33">
      <c r="A16" s="68" t="s">
        <v>545</v>
      </c>
      <c r="B16" s="686" t="s">
        <v>199</v>
      </c>
      <c r="C16" s="687">
        <f>('13'!Q6-'13'!Q7)*1000</f>
        <v>296837.89999999997</v>
      </c>
      <c r="D16" s="687">
        <f>('13'!R6-'13'!R7)*1000</f>
        <v>307691.90000000008</v>
      </c>
      <c r="E16" s="687">
        <f>('13'!S6-'13'!S7)*1000</f>
        <v>308221.80000000005</v>
      </c>
      <c r="F16" s="687">
        <f>('13'!T6-'13'!T7)*1000</f>
        <v>313525.59999999998</v>
      </c>
      <c r="G16" s="687">
        <f>('13'!U6-'13'!U7)*1000</f>
        <v>288337.60000000003</v>
      </c>
      <c r="H16" s="687">
        <f>('13'!V6-'13'!V7)*1000</f>
        <v>298772.07999999996</v>
      </c>
      <c r="I16" s="687">
        <f>('13'!W6-'13'!W7)*1000</f>
        <v>300646.45999999996</v>
      </c>
      <c r="J16" s="687">
        <f>('13'!X6-'13'!X7)*1000</f>
        <v>297297.19999999995</v>
      </c>
      <c r="K16" s="687">
        <f>('13'!Y6-'13'!Y7)*1000</f>
        <v>287905.89999999997</v>
      </c>
      <c r="L16" s="687">
        <f>('13'!Z6-'13'!Z7)*1000</f>
        <v>278117.2</v>
      </c>
      <c r="M16" s="687">
        <f>('13'!AA6-'13'!AA7)*1000</f>
        <v>281561.8</v>
      </c>
      <c r="N16" s="687">
        <f>('13'!AB6-'13'!AB7)*1000</f>
        <v>287943.00000000006</v>
      </c>
      <c r="O16" s="687">
        <f>('13'!AC6-'13'!AC7)*1000</f>
        <v>294003.99317200005</v>
      </c>
      <c r="P16" s="687">
        <f>('13'!AD6-'13'!AD7)*1000</f>
        <v>287992.15972702001</v>
      </c>
      <c r="Q16" s="687">
        <f>('13'!AE6-'13'!AE7)*1000</f>
        <v>292018.18719754007</v>
      </c>
      <c r="R16" s="687">
        <f>('13'!AF6-'13'!AF7)*1000</f>
        <v>278587.54300000006</v>
      </c>
      <c r="S16" s="687">
        <f>('13'!AG6-'13'!AG7)*1000</f>
        <v>286979.30605539994</v>
      </c>
      <c r="T16" s="687">
        <f>('13'!AH6-'13'!AH7)*1000</f>
        <v>282068.22303982999</v>
      </c>
      <c r="U16" s="687">
        <f>('13'!AI6-'13'!AI7)*1000</f>
        <v>263157.2246264391</v>
      </c>
    </row>
    <row r="17" spans="1:30">
      <c r="A17" s="68" t="s">
        <v>544</v>
      </c>
      <c r="B17" s="686"/>
      <c r="C17" s="684">
        <f t="shared" ref="C17:S17" si="1">C14-C13</f>
        <v>214485.46121307975</v>
      </c>
      <c r="D17" s="684">
        <f t="shared" si="1"/>
        <v>233768.95349004027</v>
      </c>
      <c r="E17" s="684">
        <f t="shared" si="1"/>
        <v>228153.89156544046</v>
      </c>
      <c r="F17" s="684">
        <f t="shared" si="1"/>
        <v>222049.1364886798</v>
      </c>
      <c r="G17" s="684">
        <f t="shared" si="1"/>
        <v>206848.48639896023</v>
      </c>
      <c r="H17" s="684">
        <f t="shared" si="1"/>
        <v>226967.69941392983</v>
      </c>
      <c r="I17" s="684">
        <f t="shared" si="1"/>
        <v>244626.52457087999</v>
      </c>
      <c r="J17" s="684">
        <f t="shared" si="1"/>
        <v>224710.73423424037</v>
      </c>
      <c r="K17" s="684">
        <f t="shared" si="1"/>
        <v>242896.68601876823</v>
      </c>
      <c r="L17" s="684">
        <f t="shared" si="1"/>
        <v>227670.56988552003</v>
      </c>
      <c r="M17" s="684">
        <f t="shared" si="1"/>
        <v>241394.96350025013</v>
      </c>
      <c r="N17" s="684">
        <f t="shared" si="1"/>
        <v>247382.45056999987</v>
      </c>
      <c r="O17" s="684">
        <f t="shared" si="1"/>
        <v>247275.79932830017</v>
      </c>
      <c r="P17" s="684">
        <f t="shared" si="1"/>
        <v>241481.69969250006</v>
      </c>
      <c r="Q17" s="684">
        <f t="shared" si="1"/>
        <v>243923.46346559981</v>
      </c>
      <c r="R17" s="684">
        <f t="shared" si="1"/>
        <v>239984.23046000022</v>
      </c>
      <c r="S17" s="684">
        <f t="shared" si="1"/>
        <v>232461.93891000026</v>
      </c>
      <c r="T17" s="684">
        <f>T14-T13</f>
        <v>229437.80776</v>
      </c>
      <c r="U17" s="684">
        <f>U14-U13</f>
        <v>207054.56471999991</v>
      </c>
      <c r="V17" s="722"/>
    </row>
    <row r="18" spans="1:30">
      <c r="A18" s="68" t="s">
        <v>543</v>
      </c>
      <c r="B18" s="210" t="s">
        <v>540</v>
      </c>
      <c r="C18" s="721">
        <v>115.4445548598395</v>
      </c>
      <c r="D18" s="720">
        <v>118.2025661242066</v>
      </c>
      <c r="E18" s="720">
        <v>115.1706995161117</v>
      </c>
      <c r="F18" s="720">
        <v>114.36820233446494</v>
      </c>
      <c r="G18" s="720">
        <v>99.031237510190749</v>
      </c>
      <c r="H18" s="720">
        <v>97.194976229408283</v>
      </c>
      <c r="I18" s="720">
        <v>93.759327016340578</v>
      </c>
      <c r="J18" s="720">
        <v>91.700099115170332</v>
      </c>
      <c r="K18" s="720">
        <v>78.79274759657585</v>
      </c>
      <c r="L18" s="720">
        <v>71.654265961479354</v>
      </c>
      <c r="M18" s="720">
        <v>78.921971757786892</v>
      </c>
      <c r="N18" s="720">
        <v>76.288770268423093</v>
      </c>
      <c r="O18" s="720">
        <v>78.12727810836185</v>
      </c>
      <c r="P18" s="720">
        <v>70.206922863078603</v>
      </c>
      <c r="Q18" s="720">
        <v>67.034423597442725</v>
      </c>
      <c r="R18" s="720">
        <v>59.921750713234402</v>
      </c>
      <c r="S18" s="720">
        <v>64.80659335426985</v>
      </c>
      <c r="T18" s="720">
        <v>71.387698387095199</v>
      </c>
      <c r="U18" s="720">
        <v>53.570663374188449</v>
      </c>
    </row>
    <row r="19" spans="1:30">
      <c r="A19" s="68" t="s">
        <v>542</v>
      </c>
      <c r="B19" s="210" t="s">
        <v>540</v>
      </c>
      <c r="C19" s="719">
        <f t="shared" ref="C19:S19" si="2">C18/C$12*C$13</f>
        <v>136.69793820592841</v>
      </c>
      <c r="D19" s="719">
        <f t="shared" si="2"/>
        <v>138.7800811236005</v>
      </c>
      <c r="E19" s="719">
        <f t="shared" si="2"/>
        <v>137.61785726463657</v>
      </c>
      <c r="F19" s="719">
        <f t="shared" si="2"/>
        <v>134.33100934923698</v>
      </c>
      <c r="G19" s="719">
        <f t="shared" si="2"/>
        <v>116.34171321112014</v>
      </c>
      <c r="H19" s="719">
        <f t="shared" si="2"/>
        <v>116.36068879376835</v>
      </c>
      <c r="I19" s="719">
        <f t="shared" si="2"/>
        <v>114.44026641192525</v>
      </c>
      <c r="J19" s="719">
        <f t="shared" si="2"/>
        <v>111.62387269515015</v>
      </c>
      <c r="K19" s="719">
        <f t="shared" si="2"/>
        <v>96.611390539071039</v>
      </c>
      <c r="L19" s="719">
        <f t="shared" si="2"/>
        <v>89.794104595330339</v>
      </c>
      <c r="M19" s="719">
        <f t="shared" si="2"/>
        <v>94.79065829806585</v>
      </c>
      <c r="N19" s="719">
        <f t="shared" si="2"/>
        <v>92.652017387059132</v>
      </c>
      <c r="O19" s="719">
        <f t="shared" si="2"/>
        <v>93.758618658834692</v>
      </c>
      <c r="P19" s="719">
        <f t="shared" si="2"/>
        <v>85.373503638452718</v>
      </c>
      <c r="Q19" s="719">
        <f t="shared" si="2"/>
        <v>81.425288834800142</v>
      </c>
      <c r="R19" s="719">
        <f t="shared" si="2"/>
        <v>72.956671137379317</v>
      </c>
      <c r="S19" s="719">
        <f t="shared" si="2"/>
        <v>77.698142342806619</v>
      </c>
      <c r="T19" s="719">
        <f>T18/T$12*T$13</f>
        <v>86.676003940797884</v>
      </c>
      <c r="U19" s="719">
        <f>U18/U$12*U$13</f>
        <v>67.901017707340372</v>
      </c>
    </row>
    <row r="20" spans="1:30">
      <c r="A20" s="68" t="s">
        <v>541</v>
      </c>
      <c r="B20" s="210" t="s">
        <v>540</v>
      </c>
      <c r="C20" s="718">
        <f>'9'!Q11</f>
        <v>144.74312632555694</v>
      </c>
      <c r="D20" s="718">
        <f>'9'!R11</f>
        <v>147.45002052084254</v>
      </c>
      <c r="E20" s="718">
        <f>'9'!S11</f>
        <v>145.92405574281224</v>
      </c>
      <c r="F20" s="718">
        <f>'9'!T11</f>
        <v>141.87565639814184</v>
      </c>
      <c r="G20" s="718">
        <f>'9'!U11</f>
        <v>119.76209931208173</v>
      </c>
      <c r="H20" s="718">
        <f>'9'!V11</f>
        <v>121.70870410113133</v>
      </c>
      <c r="I20" s="718">
        <f>'9'!W11</f>
        <v>119.57793463693831</v>
      </c>
      <c r="J20" s="718">
        <f>'9'!X11</f>
        <v>115.78647600093768</v>
      </c>
      <c r="K20" s="718">
        <f>'9'!Y11</f>
        <v>98.137627340549614</v>
      </c>
      <c r="L20" s="718">
        <f>'9'!Z11</f>
        <v>90.99868195310799</v>
      </c>
      <c r="M20" s="718">
        <f>'9'!AA11</f>
        <v>94.548472304045845</v>
      </c>
      <c r="N20" s="718">
        <f>'9'!AB11</f>
        <v>93.863743159910342</v>
      </c>
      <c r="O20" s="718">
        <f>'9'!AC11</f>
        <v>94.307087279330361</v>
      </c>
      <c r="P20" s="718">
        <f>'9'!AD11</f>
        <v>86.635484742035814</v>
      </c>
      <c r="Q20" s="718">
        <f>'9'!AE11</f>
        <v>82.320543725154124</v>
      </c>
      <c r="R20" s="718">
        <f>'9'!AF11</f>
        <v>73.463947603774983</v>
      </c>
      <c r="S20" s="718">
        <f>'9'!AG11</f>
        <v>77.943993377450155</v>
      </c>
      <c r="T20" s="718">
        <f>'9'!AH11</f>
        <v>86.688836907301976</v>
      </c>
      <c r="U20" s="718">
        <f>'9'!AI11</f>
        <v>67.452693257450079</v>
      </c>
    </row>
    <row r="21" spans="1:30">
      <c r="A21" s="68"/>
      <c r="B21" s="210"/>
      <c r="C21" s="507"/>
      <c r="D21" s="507"/>
      <c r="E21" s="507"/>
      <c r="F21" s="507"/>
      <c r="G21" s="507"/>
      <c r="H21" s="507"/>
      <c r="I21" s="507"/>
      <c r="J21" s="507"/>
      <c r="K21" s="507"/>
      <c r="L21" s="507"/>
      <c r="M21" s="507"/>
      <c r="N21" s="507"/>
      <c r="O21" s="507"/>
      <c r="P21" s="507"/>
      <c r="Q21" s="507"/>
      <c r="R21" s="507"/>
      <c r="S21" s="507"/>
      <c r="T21" s="507"/>
      <c r="U21" s="507"/>
    </row>
    <row r="22" spans="1:30">
      <c r="A22" s="68" t="s">
        <v>539</v>
      </c>
      <c r="B22" s="210" t="s">
        <v>538</v>
      </c>
      <c r="C22" s="717">
        <f t="shared" ref="C22:S22" si="3">C19/C20-1</f>
        <v>-5.5582522803419798E-2</v>
      </c>
      <c r="D22" s="717">
        <f t="shared" si="3"/>
        <v>-5.8799173893750112E-2</v>
      </c>
      <c r="E22" s="717">
        <f t="shared" si="3"/>
        <v>-5.6921378972738745E-2</v>
      </c>
      <c r="F22" s="717">
        <f t="shared" si="3"/>
        <v>-5.3177882946546684E-2</v>
      </c>
      <c r="G22" s="717">
        <f t="shared" si="3"/>
        <v>-2.8559837549679168E-2</v>
      </c>
      <c r="H22" s="717">
        <f t="shared" si="3"/>
        <v>-4.3941107966437354E-2</v>
      </c>
      <c r="I22" s="717">
        <f t="shared" si="3"/>
        <v>-4.2965018927714427E-2</v>
      </c>
      <c r="J22" s="717">
        <f t="shared" si="3"/>
        <v>-3.5950686553011701E-2</v>
      </c>
      <c r="K22" s="717">
        <f t="shared" si="3"/>
        <v>-1.5552004290692145E-2</v>
      </c>
      <c r="L22" s="717">
        <f t="shared" si="3"/>
        <v>-1.3237305551286771E-2</v>
      </c>
      <c r="M22" s="717">
        <f t="shared" si="3"/>
        <v>2.5615008695347719E-3</v>
      </c>
      <c r="N22" s="717">
        <f t="shared" si="3"/>
        <v>-1.2909412431878597E-2</v>
      </c>
      <c r="O22" s="717">
        <f t="shared" si="3"/>
        <v>-5.8157730910630701E-3</v>
      </c>
      <c r="P22" s="717">
        <f t="shared" si="3"/>
        <v>-1.4566561350014329E-2</v>
      </c>
      <c r="Q22" s="717">
        <f t="shared" si="3"/>
        <v>-1.0875230529854063E-2</v>
      </c>
      <c r="R22" s="717">
        <f t="shared" si="3"/>
        <v>-6.9051076472455009E-3</v>
      </c>
      <c r="S22" s="717">
        <f t="shared" si="3"/>
        <v>-3.1542011640715018E-3</v>
      </c>
      <c r="T22" s="717">
        <f>T19/T20-1</f>
        <v>-1.4803482157477177E-4</v>
      </c>
      <c r="U22" s="717">
        <f>U19/U20-1</f>
        <v>6.646501840618102E-3</v>
      </c>
    </row>
    <row r="23" spans="1:30">
      <c r="A23" s="68" t="s">
        <v>537</v>
      </c>
      <c r="B23" s="210"/>
      <c r="C23" s="717">
        <f t="shared" ref="C23:S23" si="4">(C14-C13)/C13</f>
        <v>0.10597768345554487</v>
      </c>
      <c r="D23" s="717">
        <f t="shared" si="4"/>
        <v>0.11317625631842777</v>
      </c>
      <c r="E23" s="717">
        <f t="shared" si="4"/>
        <v>0.10982403137619338</v>
      </c>
      <c r="F23" s="717">
        <f t="shared" si="4"/>
        <v>0.11003605866169741</v>
      </c>
      <c r="G23" s="717">
        <f t="shared" si="4"/>
        <v>0.1181516119860343</v>
      </c>
      <c r="H23" s="717">
        <f t="shared" si="4"/>
        <v>0.12802992868726523</v>
      </c>
      <c r="I23" s="717">
        <f t="shared" si="4"/>
        <v>0.13968689552753727</v>
      </c>
      <c r="J23" s="717">
        <f t="shared" si="4"/>
        <v>0.13318375183124204</v>
      </c>
      <c r="K23" s="717">
        <f t="shared" si="4"/>
        <v>0.16436135064737661</v>
      </c>
      <c r="L23" s="717">
        <f t="shared" si="4"/>
        <v>0.16547097786028953</v>
      </c>
      <c r="M23" s="717">
        <f t="shared" si="4"/>
        <v>0.1667448586920828</v>
      </c>
      <c r="N23" s="717">
        <f t="shared" si="4"/>
        <v>0.16892609677296572</v>
      </c>
      <c r="O23" s="717">
        <f t="shared" si="4"/>
        <v>0.16343312259698417</v>
      </c>
      <c r="P23" s="717">
        <f t="shared" si="4"/>
        <v>0.172992903926212</v>
      </c>
      <c r="Q23" s="717">
        <f t="shared" si="4"/>
        <v>0.17511057835299709</v>
      </c>
      <c r="R23" s="717">
        <f t="shared" si="4"/>
        <v>0.18654375386000682</v>
      </c>
      <c r="S23" s="717">
        <f t="shared" si="4"/>
        <v>0.17300695280403652</v>
      </c>
      <c r="T23" s="717">
        <f>(T14-T13)/T13</f>
        <v>0.16196026690536738</v>
      </c>
      <c r="U23" s="717">
        <f>(U14-U13)/U13</f>
        <v>0.18118823995458197</v>
      </c>
    </row>
    <row r="24" spans="1:30">
      <c r="C24" s="701">
        <f t="shared" ref="C24:S24" si="5">C3/C30</f>
        <v>0.6542093524985112</v>
      </c>
      <c r="D24" s="198">
        <f t="shared" si="5"/>
        <v>0.62526429325560184</v>
      </c>
      <c r="E24" s="198">
        <f t="shared" si="5"/>
        <v>0.56727815480567745</v>
      </c>
      <c r="F24" s="198">
        <f t="shared" si="5"/>
        <v>0.53664280284334775</v>
      </c>
      <c r="G24" s="198">
        <f t="shared" si="5"/>
        <v>0.52610438767826873</v>
      </c>
      <c r="H24" s="701">
        <f t="shared" si="5"/>
        <v>0.53235647239706996</v>
      </c>
      <c r="I24" s="198">
        <f t="shared" si="5"/>
        <v>0.50888232061312799</v>
      </c>
      <c r="J24" s="198">
        <f t="shared" si="5"/>
        <v>0.51190214742197448</v>
      </c>
      <c r="K24" s="198">
        <f t="shared" si="5"/>
        <v>0.46237657418382599</v>
      </c>
      <c r="L24" s="198">
        <f t="shared" si="5"/>
        <v>0.42967552267209647</v>
      </c>
      <c r="M24" s="701">
        <f t="shared" si="5"/>
        <v>0.42968534312396633</v>
      </c>
      <c r="N24" s="701">
        <f t="shared" si="5"/>
        <v>0.40157867569266475</v>
      </c>
      <c r="O24" s="701">
        <f t="shared" si="5"/>
        <v>0.40122919835766441</v>
      </c>
      <c r="P24" s="701">
        <f t="shared" si="5"/>
        <v>0.37222042155803786</v>
      </c>
      <c r="Q24" s="701">
        <f t="shared" si="5"/>
        <v>0.36024042818964019</v>
      </c>
      <c r="R24" s="701">
        <f t="shared" si="5"/>
        <v>0.35118746177064508</v>
      </c>
      <c r="S24" s="701">
        <f t="shared" si="5"/>
        <v>0.3646839378351156</v>
      </c>
      <c r="T24" s="701">
        <f t="shared" ref="T24:U27" si="6">T3/T30</f>
        <v>0.38620357641448494</v>
      </c>
      <c r="U24" s="701">
        <f t="shared" si="6"/>
        <v>0.32842178782487935</v>
      </c>
    </row>
    <row r="25" spans="1:30">
      <c r="C25" s="701">
        <f t="shared" ref="C25:S25" si="7">C4/C31</f>
        <v>0.61022399102143821</v>
      </c>
      <c r="D25" s="198">
        <f t="shared" si="7"/>
        <v>0.64469051454170667</v>
      </c>
      <c r="E25" s="198">
        <f t="shared" si="7"/>
        <v>0.57867239780761137</v>
      </c>
      <c r="F25" s="198">
        <f t="shared" si="7"/>
        <v>0.50646968417038074</v>
      </c>
      <c r="G25" s="198">
        <f t="shared" si="7"/>
        <v>0.49752509679539109</v>
      </c>
      <c r="H25" s="701">
        <f t="shared" si="7"/>
        <v>0.41533030808696159</v>
      </c>
      <c r="I25" s="198">
        <f t="shared" si="7"/>
        <v>0.44117971773860931</v>
      </c>
      <c r="J25" s="198">
        <f t="shared" si="7"/>
        <v>0.50678411899130515</v>
      </c>
      <c r="K25" s="198">
        <f t="shared" si="7"/>
        <v>0.51387615090523953</v>
      </c>
      <c r="L25" s="198">
        <f t="shared" si="7"/>
        <v>0.56370255038882122</v>
      </c>
      <c r="M25" s="701">
        <f t="shared" si="7"/>
        <v>0.53779056710117124</v>
      </c>
      <c r="N25" s="701">
        <f t="shared" si="7"/>
        <v>0.48105838396858824</v>
      </c>
      <c r="O25" s="701">
        <f t="shared" si="7"/>
        <v>0.41865837452224836</v>
      </c>
      <c r="P25" s="701">
        <f t="shared" si="7"/>
        <v>0.43632278768291061</v>
      </c>
      <c r="Q25" s="701">
        <f t="shared" si="7"/>
        <v>0.39775329622711803</v>
      </c>
      <c r="R25" s="701">
        <f t="shared" si="7"/>
        <v>0.34470599471325331</v>
      </c>
      <c r="S25" s="701">
        <f t="shared" si="7"/>
        <v>0.35094524612199685</v>
      </c>
      <c r="T25" s="701">
        <f t="shared" si="6"/>
        <v>0.41243492274491178</v>
      </c>
      <c r="U25" s="701">
        <f t="shared" si="6"/>
        <v>0.31970064235599432</v>
      </c>
    </row>
    <row r="26" spans="1:30">
      <c r="C26" s="701">
        <f t="shared" ref="C26:S26" si="8">C5/C32</f>
        <v>0.22167699911616337</v>
      </c>
      <c r="D26" s="198">
        <f t="shared" si="8"/>
        <v>0.2225499538243654</v>
      </c>
      <c r="E26" s="198">
        <f t="shared" si="8"/>
        <v>0.15685972479154861</v>
      </c>
      <c r="F26" s="198">
        <f t="shared" si="8"/>
        <v>0.15488076261139824</v>
      </c>
      <c r="G26" s="198">
        <f t="shared" si="8"/>
        <v>0.14320429939881837</v>
      </c>
      <c r="H26" s="701">
        <f t="shared" si="8"/>
        <v>0.13098862627908175</v>
      </c>
      <c r="I26" s="198">
        <f t="shared" si="8"/>
        <v>0.14501182350390443</v>
      </c>
      <c r="J26" s="198">
        <f t="shared" si="8"/>
        <v>0.12400376378813675</v>
      </c>
      <c r="K26" s="198">
        <f t="shared" si="8"/>
        <v>9.8097159663799519E-2</v>
      </c>
      <c r="L26" s="198">
        <f t="shared" si="8"/>
        <v>8.5689231828134399E-2</v>
      </c>
      <c r="M26" s="701">
        <f t="shared" si="8"/>
        <v>9.1620921866675378E-2</v>
      </c>
      <c r="N26" s="701">
        <f t="shared" si="8"/>
        <v>8.6363841570036348E-2</v>
      </c>
      <c r="O26" s="701">
        <f t="shared" si="8"/>
        <v>9.1673884974950187E-2</v>
      </c>
      <c r="P26" s="701">
        <f t="shared" si="8"/>
        <v>8.4334954756800404E-2</v>
      </c>
      <c r="Q26" s="701">
        <f t="shared" si="8"/>
        <v>8.3702413538883927E-2</v>
      </c>
      <c r="R26" s="701">
        <f t="shared" si="8"/>
        <v>7.9257277383505548E-2</v>
      </c>
      <c r="S26" s="701">
        <f t="shared" si="8"/>
        <v>8.700589301679662E-2</v>
      </c>
      <c r="T26" s="701">
        <f t="shared" si="6"/>
        <v>9.1121346538062031E-2</v>
      </c>
      <c r="U26" s="701">
        <f t="shared" si="6"/>
        <v>7.0743831866039178E-2</v>
      </c>
    </row>
    <row r="27" spans="1:30">
      <c r="C27" s="701">
        <f t="shared" ref="C27:S27" si="9">C6/C33</f>
        <v>0.79082050078807908</v>
      </c>
      <c r="D27" s="198">
        <f t="shared" si="9"/>
        <v>0.78179184654796152</v>
      </c>
      <c r="E27" s="198">
        <f t="shared" si="9"/>
        <v>0.76337415088819971</v>
      </c>
      <c r="F27" s="198">
        <f t="shared" si="9"/>
        <v>0.76531411101359048</v>
      </c>
      <c r="G27" s="198">
        <f t="shared" si="9"/>
        <v>0.73917060453544081</v>
      </c>
      <c r="H27" s="701">
        <f t="shared" si="9"/>
        <v>0.71809834859890365</v>
      </c>
      <c r="I27" s="198">
        <f t="shared" si="9"/>
        <v>0.69263076680836266</v>
      </c>
      <c r="J27" s="198">
        <f t="shared" si="9"/>
        <v>0.67441295683736979</v>
      </c>
      <c r="K27" s="198">
        <f t="shared" si="9"/>
        <v>0.61391158584776695</v>
      </c>
      <c r="L27" s="198">
        <f t="shared" si="9"/>
        <v>0.58121836507410873</v>
      </c>
      <c r="M27" s="701">
        <f t="shared" si="9"/>
        <v>0.61704078776046967</v>
      </c>
      <c r="N27" s="701">
        <f t="shared" si="9"/>
        <v>0.60978808282278152</v>
      </c>
      <c r="O27" s="701">
        <f t="shared" si="9"/>
        <v>0.62994990834319819</v>
      </c>
      <c r="P27" s="701">
        <f t="shared" si="9"/>
        <v>0.61364484236058969</v>
      </c>
      <c r="Q27" s="701">
        <f t="shared" si="9"/>
        <v>0.61640643874179113</v>
      </c>
      <c r="R27" s="701">
        <f t="shared" si="9"/>
        <v>0.61155754100479498</v>
      </c>
      <c r="S27" s="701">
        <f t="shared" si="9"/>
        <v>0.63904047525018548</v>
      </c>
      <c r="T27" s="701">
        <f t="shared" si="6"/>
        <v>0.65222341957527852</v>
      </c>
      <c r="U27" s="701">
        <f t="shared" si="6"/>
        <v>0.60362406101115651</v>
      </c>
    </row>
    <row r="28" spans="1:30">
      <c r="C28" s="701">
        <f t="shared" ref="C28:S28" si="10">C10/C37</f>
        <v>0.5914207311783557</v>
      </c>
      <c r="D28" s="198">
        <f t="shared" si="10"/>
        <v>0.58120064322638687</v>
      </c>
      <c r="E28" s="198">
        <f t="shared" si="10"/>
        <v>0.56153904136598032</v>
      </c>
      <c r="F28" s="198">
        <f t="shared" si="10"/>
        <v>0.57701222970897859</v>
      </c>
      <c r="G28" s="198">
        <f t="shared" si="10"/>
        <v>0.57012787555695188</v>
      </c>
      <c r="H28" s="701">
        <f t="shared" si="10"/>
        <v>0.57931613037528762</v>
      </c>
      <c r="I28" s="198">
        <f t="shared" si="10"/>
        <v>0.60907984678078997</v>
      </c>
      <c r="J28" s="198">
        <f t="shared" si="10"/>
        <v>0.46806723229883229</v>
      </c>
      <c r="K28" s="198">
        <f t="shared" si="10"/>
        <v>0.52912569553378341</v>
      </c>
      <c r="L28" s="198">
        <f t="shared" si="10"/>
        <v>0.5418623685503805</v>
      </c>
      <c r="M28" s="701">
        <f t="shared" si="10"/>
        <v>0.5410536133272924</v>
      </c>
      <c r="N28" s="701">
        <f t="shared" si="10"/>
        <v>0.52833600725122787</v>
      </c>
      <c r="O28" s="701">
        <f t="shared" si="10"/>
        <v>0.51938735403464009</v>
      </c>
      <c r="P28" s="701">
        <f t="shared" si="10"/>
        <v>0.48772963368205152</v>
      </c>
      <c r="Q28" s="701">
        <f t="shared" si="10"/>
        <v>0.47767527818100564</v>
      </c>
      <c r="R28" s="701">
        <f t="shared" si="10"/>
        <v>0.48278860419032854</v>
      </c>
      <c r="S28" s="701">
        <f t="shared" si="10"/>
        <v>0.48252374925017572</v>
      </c>
      <c r="T28" s="701">
        <f>T10/T37</f>
        <v>0.50966851454118955</v>
      </c>
      <c r="U28" s="701">
        <f>U10/U37</f>
        <v>0.40927838959882229</v>
      </c>
    </row>
    <row r="29" spans="1:30">
      <c r="A29" s="68" t="s">
        <v>536</v>
      </c>
      <c r="C29" s="68">
        <f t="shared" ref="C29:K29" si="11">D29-1</f>
        <v>2005</v>
      </c>
      <c r="D29" s="68">
        <f t="shared" si="11"/>
        <v>2006</v>
      </c>
      <c r="E29" s="68">
        <f t="shared" si="11"/>
        <v>2007</v>
      </c>
      <c r="F29" s="68">
        <f t="shared" si="11"/>
        <v>2008</v>
      </c>
      <c r="G29" s="68">
        <f t="shared" si="11"/>
        <v>2009</v>
      </c>
      <c r="H29" s="68">
        <f t="shared" si="11"/>
        <v>2010</v>
      </c>
      <c r="I29" s="68">
        <f t="shared" si="11"/>
        <v>2011</v>
      </c>
      <c r="J29" s="68">
        <f t="shared" si="11"/>
        <v>2012</v>
      </c>
      <c r="K29" s="68">
        <f t="shared" si="11"/>
        <v>2013</v>
      </c>
      <c r="L29" s="68">
        <v>2014</v>
      </c>
      <c r="M29" s="68">
        <v>2015</v>
      </c>
      <c r="N29" s="68">
        <v>2016</v>
      </c>
      <c r="O29" s="68">
        <v>2017</v>
      </c>
      <c r="P29" s="68">
        <v>2018</v>
      </c>
      <c r="Q29" s="68">
        <f>P29+1</f>
        <v>2019</v>
      </c>
      <c r="R29" s="68">
        <f>Q29+1</f>
        <v>2020</v>
      </c>
      <c r="S29" s="68">
        <f>R29+1</f>
        <v>2021</v>
      </c>
      <c r="T29" s="68">
        <f>S29+1</f>
        <v>2022</v>
      </c>
      <c r="U29" s="68">
        <f>T29+1</f>
        <v>2023</v>
      </c>
      <c r="Y29" s="256"/>
      <c r="AB29" s="68"/>
      <c r="AC29" s="68"/>
      <c r="AD29" s="68"/>
    </row>
    <row r="30" spans="1:30">
      <c r="A30" s="195" t="s">
        <v>528</v>
      </c>
      <c r="B30" s="686" t="s">
        <v>531</v>
      </c>
      <c r="C30" s="701">
        <v>129125.11144410378</v>
      </c>
      <c r="D30" s="198">
        <v>126551.43793543748</v>
      </c>
      <c r="E30" s="198">
        <v>121233.16366374263</v>
      </c>
      <c r="F30" s="198">
        <v>110906.83313172574</v>
      </c>
      <c r="G30" s="198">
        <v>96169.733044147943</v>
      </c>
      <c r="H30" s="701">
        <v>102217.63149534843</v>
      </c>
      <c r="I30" s="198">
        <v>99075.784105559811</v>
      </c>
      <c r="J30" s="198">
        <v>98775.449501727562</v>
      </c>
      <c r="K30" s="198">
        <v>93094.539123662878</v>
      </c>
      <c r="L30" s="198">
        <v>86030.941874451833</v>
      </c>
      <c r="M30" s="701">
        <v>86271.414771999946</v>
      </c>
      <c r="N30" s="701">
        <v>82940.045425267715</v>
      </c>
      <c r="O30" s="701">
        <v>80570.357057719215</v>
      </c>
      <c r="P30" s="701">
        <v>75892.443953213486</v>
      </c>
      <c r="Q30" s="701">
        <v>74068.79256593516</v>
      </c>
      <c r="R30" s="701">
        <v>67904.307017653453</v>
      </c>
      <c r="S30" s="701">
        <v>68744.022734886443</v>
      </c>
      <c r="T30" s="701">
        <v>70429.615988152276</v>
      </c>
      <c r="U30" s="701">
        <v>62009.247707673276</v>
      </c>
      <c r="V30" s="198"/>
      <c r="W30" s="199"/>
      <c r="X30" s="199"/>
      <c r="Y30" s="716"/>
      <c r="Z30" s="706"/>
      <c r="AA30" s="706"/>
      <c r="AD30" s="703"/>
    </row>
    <row r="31" spans="1:30">
      <c r="A31" s="195" t="s">
        <v>527</v>
      </c>
      <c r="B31" s="686" t="s">
        <v>531</v>
      </c>
      <c r="C31" s="701">
        <v>183906.35234145913</v>
      </c>
      <c r="D31" s="198">
        <v>179500.05217970931</v>
      </c>
      <c r="E31" s="198">
        <v>140955.80648918095</v>
      </c>
      <c r="F31" s="198">
        <v>114481.64186761974</v>
      </c>
      <c r="G31" s="198">
        <v>91071.064538949169</v>
      </c>
      <c r="H31" s="701">
        <v>78945.477955774943</v>
      </c>
      <c r="I31" s="198">
        <v>66453.485410671274</v>
      </c>
      <c r="J31" s="198">
        <v>65865.323959410234</v>
      </c>
      <c r="K31" s="198">
        <v>47321.915759704258</v>
      </c>
      <c r="L31" s="198">
        <v>33680.346684754113</v>
      </c>
      <c r="M31" s="701">
        <v>32517.988367917507</v>
      </c>
      <c r="N31" s="701">
        <v>25029.90959347818</v>
      </c>
      <c r="O31" s="701">
        <v>22478.726709369235</v>
      </c>
      <c r="P31" s="701">
        <v>20302.974556885667</v>
      </c>
      <c r="Q31" s="701">
        <v>16860.647592455913</v>
      </c>
      <c r="R31" s="701">
        <v>14437.450048949173</v>
      </c>
      <c r="S31" s="701">
        <v>13452.287566591862</v>
      </c>
      <c r="T31" s="701">
        <v>16796.567002332991</v>
      </c>
      <c r="U31" s="701">
        <v>13110.648852991762</v>
      </c>
      <c r="V31" s="198"/>
      <c r="W31" s="199"/>
      <c r="X31" s="199"/>
      <c r="Y31" s="716"/>
      <c r="Z31" s="706"/>
      <c r="AA31" s="706"/>
      <c r="AD31" s="703"/>
    </row>
    <row r="32" spans="1:30">
      <c r="A32" t="s">
        <v>526</v>
      </c>
      <c r="B32" s="686" t="s">
        <v>531</v>
      </c>
      <c r="C32" s="701">
        <v>17857.022396451099</v>
      </c>
      <c r="D32" s="198">
        <v>18283.811456947391</v>
      </c>
      <c r="E32" s="198">
        <v>25318.743713696054</v>
      </c>
      <c r="F32" s="198">
        <v>25198.835761281032</v>
      </c>
      <c r="G32" s="198">
        <v>23347.653740733025</v>
      </c>
      <c r="H32" s="701">
        <v>25056.33074993729</v>
      </c>
      <c r="I32" s="198">
        <v>21478.689094193676</v>
      </c>
      <c r="J32" s="198">
        <v>23753.513499276691</v>
      </c>
      <c r="K32" s="198">
        <v>25459.247834011807</v>
      </c>
      <c r="L32" s="198">
        <v>26111.049254746773</v>
      </c>
      <c r="M32" s="701">
        <v>27461.421723208136</v>
      </c>
      <c r="N32" s="701">
        <v>29889.803654970354</v>
      </c>
      <c r="O32" s="701">
        <v>29986.5595003339</v>
      </c>
      <c r="P32" s="701">
        <v>29665.916686451896</v>
      </c>
      <c r="Q32" s="701">
        <v>30833.367769848395</v>
      </c>
      <c r="R32" s="701">
        <v>30289.831230924003</v>
      </c>
      <c r="S32" s="701">
        <v>29493.067275420341</v>
      </c>
      <c r="T32" s="701">
        <v>28709.358206648485</v>
      </c>
      <c r="U32" s="701">
        <v>29049.307913361492</v>
      </c>
      <c r="V32" s="198"/>
      <c r="W32" s="199"/>
      <c r="X32" s="199"/>
      <c r="Y32" s="716"/>
      <c r="Z32" s="706"/>
      <c r="AA32" s="706"/>
      <c r="AD32" s="703"/>
    </row>
    <row r="33" spans="1:34">
      <c r="A33" t="s">
        <v>525</v>
      </c>
      <c r="B33" s="686" t="s">
        <v>531</v>
      </c>
      <c r="C33" s="701">
        <v>36970.470131027425</v>
      </c>
      <c r="D33" s="198">
        <v>38640.728890527142</v>
      </c>
      <c r="E33" s="198">
        <v>39703.990440760594</v>
      </c>
      <c r="F33" s="198">
        <v>39259.386361910103</v>
      </c>
      <c r="G33" s="198">
        <v>34886.557409880625</v>
      </c>
      <c r="H33" s="701">
        <v>35883.923786052779</v>
      </c>
      <c r="I33" s="198">
        <v>35420.337400520097</v>
      </c>
      <c r="J33" s="198">
        <v>34433.330751257658</v>
      </c>
      <c r="K33" s="198">
        <v>32121.669850189763</v>
      </c>
      <c r="L33" s="198">
        <v>30397.389549995765</v>
      </c>
      <c r="M33" s="701">
        <v>32146.669189056956</v>
      </c>
      <c r="N33" s="701">
        <v>33606.310041226541</v>
      </c>
      <c r="O33" s="701">
        <v>34658.055341082509</v>
      </c>
      <c r="P33" s="701">
        <v>32458.366558748789</v>
      </c>
      <c r="Q33" s="701">
        <v>33336.018920442228</v>
      </c>
      <c r="R33" s="701">
        <v>31253.521960029095</v>
      </c>
      <c r="S33" s="701">
        <v>31859.045777904128</v>
      </c>
      <c r="T33" s="701">
        <v>31746.423042192371</v>
      </c>
      <c r="U33" s="701">
        <v>27019.777674086265</v>
      </c>
      <c r="V33" s="198"/>
      <c r="W33" s="199"/>
      <c r="X33" s="199"/>
      <c r="Y33" s="716"/>
      <c r="Z33" s="706"/>
      <c r="AA33" s="706"/>
      <c r="AD33" s="703"/>
    </row>
    <row r="34" spans="1:34">
      <c r="A34" t="s">
        <v>524</v>
      </c>
      <c r="B34" s="686" t="s">
        <v>531</v>
      </c>
      <c r="C34" s="701">
        <v>6367.77432283904</v>
      </c>
      <c r="D34" s="198">
        <v>6749.7442773448929</v>
      </c>
      <c r="E34" s="198">
        <v>6763.6398708475617</v>
      </c>
      <c r="F34" s="198">
        <v>6780.2102493985012</v>
      </c>
      <c r="G34" s="198">
        <v>6662.7648097861675</v>
      </c>
      <c r="H34" s="701">
        <v>6896.0957157753355</v>
      </c>
      <c r="I34" s="198">
        <v>7819.9180826151542</v>
      </c>
      <c r="J34" s="198">
        <v>8111.5576733414346</v>
      </c>
      <c r="K34" s="198">
        <v>9135.3950544393538</v>
      </c>
      <c r="L34" s="198">
        <v>9311.0015365561921</v>
      </c>
      <c r="M34" s="701">
        <v>8997.2986147622651</v>
      </c>
      <c r="N34" s="701">
        <v>9273.9597917683659</v>
      </c>
      <c r="O34" s="701">
        <v>9204.6890458267826</v>
      </c>
      <c r="P34" s="701">
        <v>8925.6784754379387</v>
      </c>
      <c r="Q34" s="701">
        <v>9005.7180033121367</v>
      </c>
      <c r="R34" s="701">
        <v>8681.4133558517515</v>
      </c>
      <c r="S34" s="701">
        <v>8500.0200796825611</v>
      </c>
      <c r="T34" s="701">
        <v>8270.7287156668808</v>
      </c>
      <c r="U34" s="701">
        <v>7260.4811426946753</v>
      </c>
      <c r="V34" s="198"/>
      <c r="W34" s="199"/>
      <c r="X34" s="199"/>
      <c r="Y34" s="706"/>
      <c r="Z34" s="706"/>
      <c r="AA34" s="706"/>
      <c r="AD34" s="703"/>
    </row>
    <row r="35" spans="1:34">
      <c r="A35" t="s">
        <v>523</v>
      </c>
      <c r="B35" s="686" t="s">
        <v>531</v>
      </c>
      <c r="C35" s="701">
        <v>1642.1002903352685</v>
      </c>
      <c r="D35" s="198">
        <v>1712.0289530968892</v>
      </c>
      <c r="E35" s="198">
        <v>1762.2553209367966</v>
      </c>
      <c r="F35" s="198">
        <v>1740.0321003103395</v>
      </c>
      <c r="G35" s="198">
        <v>1618.9938841571318</v>
      </c>
      <c r="H35" s="701">
        <v>1723.5642285101526</v>
      </c>
      <c r="I35" s="198">
        <v>1814.9413899024955</v>
      </c>
      <c r="J35" s="198">
        <v>1918.2368553847634</v>
      </c>
      <c r="K35" s="198">
        <v>1937.5417856911936</v>
      </c>
      <c r="L35" s="198">
        <v>1954.1943814608226</v>
      </c>
      <c r="M35" s="701">
        <v>1890.7083609639801</v>
      </c>
      <c r="N35" s="701">
        <v>1872.3787273716484</v>
      </c>
      <c r="O35" s="701">
        <v>1763.5276176235855</v>
      </c>
      <c r="P35" s="701">
        <v>1694.4692517930923</v>
      </c>
      <c r="Q35" s="701">
        <v>1570.3534630620438</v>
      </c>
      <c r="R35" s="701">
        <v>1480.6392768247115</v>
      </c>
      <c r="S35" s="701">
        <v>1409.3983824818931</v>
      </c>
      <c r="T35" s="701">
        <v>1498.7490233438348</v>
      </c>
      <c r="U35" s="701">
        <v>1279.7760043487121</v>
      </c>
      <c r="V35" s="198"/>
      <c r="W35" s="199"/>
      <c r="X35" s="199"/>
      <c r="Y35" s="706"/>
      <c r="Z35" s="706"/>
      <c r="AA35" s="706"/>
      <c r="AD35" s="703"/>
    </row>
    <row r="36" spans="1:34">
      <c r="A36" t="s">
        <v>522</v>
      </c>
      <c r="B36" s="686" t="s">
        <v>531</v>
      </c>
      <c r="C36" s="701">
        <v>231.81134721780091</v>
      </c>
      <c r="D36" s="198">
        <v>239.71034773723298</v>
      </c>
      <c r="E36" s="198">
        <v>242.65967190801774</v>
      </c>
      <c r="F36" s="198">
        <v>240.65814890509156</v>
      </c>
      <c r="G36" s="198">
        <v>222.04484811078942</v>
      </c>
      <c r="H36" s="701">
        <v>229.17479528794456</v>
      </c>
      <c r="I36" s="198">
        <v>246.47841236010021</v>
      </c>
      <c r="J36" s="198">
        <v>266.31505291696851</v>
      </c>
      <c r="K36" s="198">
        <v>250.1249566417352</v>
      </c>
      <c r="L36" s="198">
        <v>243.55033523218302</v>
      </c>
      <c r="M36" s="701">
        <v>240.98275684989801</v>
      </c>
      <c r="N36" s="701">
        <v>210.65575728247626</v>
      </c>
      <c r="O36" s="701">
        <v>191.50587730802073</v>
      </c>
      <c r="P36" s="701">
        <v>172.30512333715694</v>
      </c>
      <c r="Q36" s="701">
        <v>130.93780378260922</v>
      </c>
      <c r="R36" s="701">
        <v>107.19569274299928</v>
      </c>
      <c r="S36" s="701">
        <v>102.69301315338163</v>
      </c>
      <c r="T36" s="701">
        <v>140.42420179385201</v>
      </c>
      <c r="U36" s="701">
        <v>95.641701864038581</v>
      </c>
      <c r="V36" s="198"/>
      <c r="W36" s="199"/>
      <c r="X36" s="199"/>
      <c r="Y36" s="706"/>
      <c r="Z36" s="706"/>
      <c r="AA36" s="706"/>
      <c r="AD36" s="703"/>
    </row>
    <row r="37" spans="1:34">
      <c r="A37" s="195" t="s">
        <v>521</v>
      </c>
      <c r="B37" s="686" t="s">
        <v>531</v>
      </c>
      <c r="C37" s="701">
        <v>5926.8176024470777</v>
      </c>
      <c r="D37" s="198">
        <v>5536.3158549476193</v>
      </c>
      <c r="E37" s="198">
        <v>4182.3867567372381</v>
      </c>
      <c r="F37" s="198">
        <v>3502.0407485053715</v>
      </c>
      <c r="G37" s="198">
        <v>2959.6558132312548</v>
      </c>
      <c r="H37" s="701">
        <v>2865.3246418921908</v>
      </c>
      <c r="I37" s="198">
        <v>1817.6311686838615</v>
      </c>
      <c r="J37" s="198">
        <v>2048.7107577227089</v>
      </c>
      <c r="K37" s="198">
        <v>1706.352955690717</v>
      </c>
      <c r="L37" s="198">
        <v>1521.4842910041173</v>
      </c>
      <c r="M37" s="701">
        <v>1422.3569546627475</v>
      </c>
      <c r="N37" s="701">
        <v>1255.3363125030855</v>
      </c>
      <c r="O37" s="701">
        <v>1192.8483793062917</v>
      </c>
      <c r="P37" s="701">
        <v>1030.8380301382217</v>
      </c>
      <c r="Q37" s="701">
        <v>956.11480439973468</v>
      </c>
      <c r="R37" s="701">
        <v>820.79583591396226</v>
      </c>
      <c r="S37" s="701">
        <v>851.46440085688573</v>
      </c>
      <c r="T37" s="701">
        <v>912.5226444743065</v>
      </c>
      <c r="U37" s="701">
        <v>738.85198959083527</v>
      </c>
      <c r="V37" s="198"/>
      <c r="W37" s="199"/>
      <c r="X37" s="199"/>
      <c r="Y37" s="706"/>
      <c r="Z37" s="706"/>
      <c r="AA37" s="706"/>
      <c r="AB37" s="177"/>
      <c r="AC37" s="177"/>
      <c r="AD37" s="715"/>
    </row>
    <row r="39" spans="1:34" ht="15" thickBot="1">
      <c r="W39" t="s">
        <v>535</v>
      </c>
      <c r="AA39" t="s">
        <v>534</v>
      </c>
      <c r="AE39" t="s">
        <v>533</v>
      </c>
    </row>
    <row r="40" spans="1:34">
      <c r="A40" s="68" t="s">
        <v>532</v>
      </c>
      <c r="W40" s="714">
        <v>2005</v>
      </c>
      <c r="X40" s="713">
        <v>2010</v>
      </c>
      <c r="Y40" s="712">
        <v>2014</v>
      </c>
      <c r="Z40" s="711">
        <v>2015</v>
      </c>
      <c r="AA40" s="714">
        <v>2005</v>
      </c>
      <c r="AB40" s="713">
        <v>2010</v>
      </c>
      <c r="AC40" s="712">
        <v>2014</v>
      </c>
      <c r="AD40" s="711">
        <v>2015</v>
      </c>
      <c r="AE40" s="714">
        <v>2005</v>
      </c>
      <c r="AF40" s="713">
        <v>2010</v>
      </c>
      <c r="AG40" s="712">
        <v>2014</v>
      </c>
      <c r="AH40" s="711">
        <v>2015</v>
      </c>
    </row>
    <row r="41" spans="1:34">
      <c r="A41" s="195" t="s">
        <v>528</v>
      </c>
      <c r="B41" s="686" t="s">
        <v>531</v>
      </c>
      <c r="C41" s="701">
        <f t="shared" ref="C41:S41" si="12">C30/C$14*C$13</f>
        <v>116752.00447143019</v>
      </c>
      <c r="D41" s="198">
        <f t="shared" si="12"/>
        <v>113684.99572024381</v>
      </c>
      <c r="E41" s="198">
        <f t="shared" si="12"/>
        <v>109236.38363949665</v>
      </c>
      <c r="F41" s="198">
        <f t="shared" si="12"/>
        <v>99912.82018841742</v>
      </c>
      <c r="G41" s="198">
        <f t="shared" si="12"/>
        <v>86007.775701663166</v>
      </c>
      <c r="H41" s="701">
        <f t="shared" si="12"/>
        <v>90616.063364828689</v>
      </c>
      <c r="I41" s="198">
        <f t="shared" si="12"/>
        <v>86932.458813347766</v>
      </c>
      <c r="J41" s="198">
        <f t="shared" si="12"/>
        <v>87166.312914480935</v>
      </c>
      <c r="K41" s="198">
        <f t="shared" si="12"/>
        <v>79953.305794548214</v>
      </c>
      <c r="L41" s="198">
        <f t="shared" si="12"/>
        <v>73816.46004810663</v>
      </c>
      <c r="M41" s="701">
        <f t="shared" si="12"/>
        <v>73941.971228148308</v>
      </c>
      <c r="N41" s="701">
        <f t="shared" si="12"/>
        <v>70954.054028085171</v>
      </c>
      <c r="O41" s="701">
        <f t="shared" si="12"/>
        <v>69252.24621237551</v>
      </c>
      <c r="P41" s="701">
        <f t="shared" si="12"/>
        <v>64699.832112528755</v>
      </c>
      <c r="Q41" s="701">
        <f t="shared" si="12"/>
        <v>63031.338437739163</v>
      </c>
      <c r="R41" s="701">
        <f t="shared" si="12"/>
        <v>57228.658274716327</v>
      </c>
      <c r="S41" s="701">
        <f t="shared" si="12"/>
        <v>58604.957601108843</v>
      </c>
      <c r="T41" s="701">
        <f t="shared" ref="T41:U48" si="13">T30/T$14*T$13</f>
        <v>60612.757590865389</v>
      </c>
      <c r="U41" s="701">
        <f t="shared" si="13"/>
        <v>52497.345986155095</v>
      </c>
      <c r="V41" s="56"/>
      <c r="W41" s="710">
        <f>AE41-C41/1000</f>
        <v>14.247995528569803</v>
      </c>
      <c r="X41" s="200">
        <f>AF41-H41/1000</f>
        <v>-2.6160633648286904</v>
      </c>
      <c r="Y41" s="709">
        <f>AG41-L41/1000</f>
        <v>19.557291601831196</v>
      </c>
      <c r="Z41" s="708">
        <f>AH41-M41/1000</f>
        <v>-3.6419712281483072</v>
      </c>
      <c r="AA41" s="707">
        <f t="shared" ref="AA41:AD42" si="14">(W41)/AE41</f>
        <v>0.10876332464557101</v>
      </c>
      <c r="AB41" s="706">
        <f t="shared" si="14"/>
        <v>-2.9727992782144209E-2</v>
      </c>
      <c r="AC41" s="706">
        <f t="shared" si="14"/>
        <v>0.20945170624772919</v>
      </c>
      <c r="AD41" s="705">
        <f t="shared" si="14"/>
        <v>-5.1806134113062695E-2</v>
      </c>
      <c r="AE41" s="704">
        <v>131</v>
      </c>
      <c r="AF41">
        <v>88</v>
      </c>
      <c r="AG41" s="703">
        <v>93.37375164993783</v>
      </c>
      <c r="AH41" s="708">
        <v>70.3</v>
      </c>
    </row>
    <row r="42" spans="1:34">
      <c r="A42" s="195" t="s">
        <v>527</v>
      </c>
      <c r="B42" s="686" t="s">
        <v>531</v>
      </c>
      <c r="C42" s="701">
        <f t="shared" ref="C42:S42" si="15">C31/C$14*C$13</f>
        <v>166283.96313283415</v>
      </c>
      <c r="D42" s="198">
        <f t="shared" si="15"/>
        <v>161250.34212763762</v>
      </c>
      <c r="E42" s="198">
        <f t="shared" si="15"/>
        <v>127007.34756517597</v>
      </c>
      <c r="F42" s="198">
        <f t="shared" si="15"/>
        <v>103133.26398211176</v>
      </c>
      <c r="G42" s="198">
        <f t="shared" si="15"/>
        <v>81447.867679760267</v>
      </c>
      <c r="H42" s="701">
        <f t="shared" si="15"/>
        <v>69985.26896147785</v>
      </c>
      <c r="I42" s="198">
        <f t="shared" si="15"/>
        <v>58308.545681672811</v>
      </c>
      <c r="J42" s="198">
        <f t="shared" si="15"/>
        <v>58124.133754098468</v>
      </c>
      <c r="K42" s="198">
        <f t="shared" si="15"/>
        <v>40641.949969735433</v>
      </c>
      <c r="L42" s="198">
        <f t="shared" si="15"/>
        <v>28898.485955084449</v>
      </c>
      <c r="M42" s="701">
        <f t="shared" si="15"/>
        <v>27870.693515950064</v>
      </c>
      <c r="N42" s="701">
        <f t="shared" si="15"/>
        <v>21412.739147990473</v>
      </c>
      <c r="O42" s="701">
        <f t="shared" si="15"/>
        <v>19321.030382212968</v>
      </c>
      <c r="P42" s="701">
        <f t="shared" si="15"/>
        <v>17308.693419140105</v>
      </c>
      <c r="Q42" s="701">
        <f t="shared" si="15"/>
        <v>14348.137020506902</v>
      </c>
      <c r="R42" s="701">
        <f t="shared" si="15"/>
        <v>12167.650794150622</v>
      </c>
      <c r="S42" s="701">
        <f t="shared" si="15"/>
        <v>11468.207869045098</v>
      </c>
      <c r="T42" s="701">
        <f t="shared" si="13"/>
        <v>14455.371221140853</v>
      </c>
      <c r="U42" s="701">
        <f t="shared" si="13"/>
        <v>11099.542316384628</v>
      </c>
      <c r="V42" s="56"/>
      <c r="W42" s="710">
        <f>AE42-C42/1000</f>
        <v>-3.2839631328341454</v>
      </c>
      <c r="X42" s="200">
        <f>AF42-H42/1000</f>
        <v>-1.9852689614778569</v>
      </c>
      <c r="Y42" s="709">
        <f>AG42-L42/1000</f>
        <v>8.5233763023739861</v>
      </c>
      <c r="Z42" s="708">
        <f>AH42-M42/1000</f>
        <v>-1.2006935159500642</v>
      </c>
      <c r="AA42" s="707">
        <f t="shared" si="14"/>
        <v>-2.0147013084872059E-2</v>
      </c>
      <c r="AB42" s="706">
        <f t="shared" si="14"/>
        <v>-2.9195131786439073E-2</v>
      </c>
      <c r="AC42" s="706">
        <f t="shared" si="14"/>
        <v>0.22776462175329659</v>
      </c>
      <c r="AD42" s="705">
        <f t="shared" si="14"/>
        <v>-4.5020379300714813E-2</v>
      </c>
      <c r="AE42" s="704">
        <v>163</v>
      </c>
      <c r="AF42">
        <v>68</v>
      </c>
      <c r="AG42" s="703">
        <v>37.421862257458436</v>
      </c>
      <c r="AH42" s="708">
        <v>26.67</v>
      </c>
    </row>
    <row r="43" spans="1:34">
      <c r="A43" t="s">
        <v>526</v>
      </c>
      <c r="B43" s="686" t="s">
        <v>531</v>
      </c>
      <c r="C43" s="701">
        <f t="shared" ref="C43:S43" si="16">C32/C$14*C$13</f>
        <v>16145.915657771831</v>
      </c>
      <c r="D43" s="198">
        <f t="shared" si="16"/>
        <v>16424.902483472706</v>
      </c>
      <c r="E43" s="198">
        <f t="shared" si="16"/>
        <v>22813.295619757439</v>
      </c>
      <c r="F43" s="198">
        <f t="shared" si="16"/>
        <v>22700.916393348271</v>
      </c>
      <c r="G43" s="198">
        <f t="shared" si="16"/>
        <v>20880.579601601145</v>
      </c>
      <c r="H43" s="701">
        <f t="shared" si="16"/>
        <v>22212.469822583851</v>
      </c>
      <c r="I43" s="198">
        <f t="shared" si="16"/>
        <v>18846.13149320423</v>
      </c>
      <c r="J43" s="198">
        <f t="shared" si="16"/>
        <v>20961.749108113007</v>
      </c>
      <c r="K43" s="198">
        <f t="shared" si="16"/>
        <v>21865.41817096269</v>
      </c>
      <c r="L43" s="198">
        <f t="shared" si="16"/>
        <v>22403.86054287216</v>
      </c>
      <c r="M43" s="701">
        <f t="shared" si="16"/>
        <v>23536.784000910277</v>
      </c>
      <c r="N43" s="701">
        <f t="shared" si="16"/>
        <v>25570.310849836122</v>
      </c>
      <c r="O43" s="701">
        <f t="shared" si="16"/>
        <v>25774.201299511493</v>
      </c>
      <c r="P43" s="701">
        <f t="shared" si="16"/>
        <v>25290.789558193312</v>
      </c>
      <c r="Q43" s="701">
        <f t="shared" si="16"/>
        <v>26238.694755912758</v>
      </c>
      <c r="R43" s="701">
        <f t="shared" si="16"/>
        <v>25527.782799737968</v>
      </c>
      <c r="S43" s="701">
        <f t="shared" si="16"/>
        <v>25143.130827074881</v>
      </c>
      <c r="T43" s="701">
        <f t="shared" si="13"/>
        <v>24707.693562629058</v>
      </c>
      <c r="U43" s="701">
        <f t="shared" si="13"/>
        <v>24593.292525904653</v>
      </c>
      <c r="V43" s="56"/>
      <c r="W43" s="710"/>
      <c r="X43" s="200"/>
      <c r="Y43" s="709"/>
      <c r="Z43" s="708"/>
      <c r="AA43" s="707"/>
      <c r="AB43" s="706"/>
      <c r="AC43" s="706"/>
      <c r="AD43" s="705"/>
      <c r="AE43" s="704"/>
      <c r="AG43" s="703"/>
      <c r="AH43" s="702"/>
    </row>
    <row r="44" spans="1:34">
      <c r="A44" t="s">
        <v>525</v>
      </c>
      <c r="B44" s="686" t="s">
        <v>531</v>
      </c>
      <c r="C44" s="701">
        <f t="shared" ref="C44:S44" si="17">C33/C$14*C$13</f>
        <v>33427.862681203427</v>
      </c>
      <c r="D44" s="198">
        <f t="shared" si="17"/>
        <v>34712.138954816</v>
      </c>
      <c r="E44" s="198">
        <f t="shared" si="17"/>
        <v>35775.032183730276</v>
      </c>
      <c r="F44" s="198">
        <f t="shared" si="17"/>
        <v>35367.667613647383</v>
      </c>
      <c r="G44" s="198">
        <f t="shared" si="17"/>
        <v>31200.203117282061</v>
      </c>
      <c r="H44" s="701">
        <f t="shared" si="17"/>
        <v>31811.145142055204</v>
      </c>
      <c r="I44" s="198">
        <f t="shared" si="17"/>
        <v>31079.007348000403</v>
      </c>
      <c r="J44" s="198">
        <f t="shared" si="17"/>
        <v>30386.361166591803</v>
      </c>
      <c r="K44" s="198">
        <f t="shared" si="17"/>
        <v>27587.372109466141</v>
      </c>
      <c r="L44" s="198">
        <f t="shared" si="17"/>
        <v>26081.635774236878</v>
      </c>
      <c r="M44" s="701">
        <f t="shared" si="17"/>
        <v>27552.441263888035</v>
      </c>
      <c r="N44" s="701">
        <f t="shared" si="17"/>
        <v>28749.730315717057</v>
      </c>
      <c r="O44" s="701">
        <f t="shared" si="17"/>
        <v>29789.469345448691</v>
      </c>
      <c r="P44" s="701">
        <f t="shared" si="17"/>
        <v>27671.409136496026</v>
      </c>
      <c r="Q44" s="701">
        <f t="shared" si="17"/>
        <v>28368.410202863703</v>
      </c>
      <c r="R44" s="701">
        <f t="shared" si="17"/>
        <v>26339.965853224247</v>
      </c>
      <c r="S44" s="701">
        <f t="shared" si="17"/>
        <v>27160.150842879553</v>
      </c>
      <c r="T44" s="701">
        <f t="shared" si="13"/>
        <v>27321.435978824109</v>
      </c>
      <c r="U44" s="701">
        <f t="shared" si="13"/>
        <v>22875.081854121072</v>
      </c>
      <c r="V44" s="56"/>
      <c r="W44" s="710"/>
      <c r="X44" s="200"/>
      <c r="Y44" s="709"/>
      <c r="Z44" s="708"/>
      <c r="AA44" s="707"/>
      <c r="AB44" s="706"/>
      <c r="AC44" s="706"/>
      <c r="AD44" s="705"/>
      <c r="AE44" s="704"/>
      <c r="AG44" s="703"/>
      <c r="AH44" s="702"/>
    </row>
    <row r="45" spans="1:34">
      <c r="A45" t="s">
        <v>524</v>
      </c>
      <c r="B45" s="686" t="s">
        <v>531</v>
      </c>
      <c r="C45" s="701">
        <f t="shared" ref="C45:S45" si="18">C34/C$14*C$13</f>
        <v>5757.5974796737337</v>
      </c>
      <c r="D45" s="198">
        <f t="shared" si="18"/>
        <v>6063.5000423635574</v>
      </c>
      <c r="E45" s="198">
        <f t="shared" si="18"/>
        <v>6094.3353897829893</v>
      </c>
      <c r="F45" s="198">
        <f t="shared" si="18"/>
        <v>6108.0990986662055</v>
      </c>
      <c r="G45" s="198">
        <f t="shared" si="18"/>
        <v>5958.7311222955923</v>
      </c>
      <c r="H45" s="701">
        <f t="shared" si="18"/>
        <v>6113.3978278400873</v>
      </c>
      <c r="I45" s="198">
        <f t="shared" si="18"/>
        <v>6861.4617868317919</v>
      </c>
      <c r="J45" s="198">
        <f t="shared" si="18"/>
        <v>7158.2015363642786</v>
      </c>
      <c r="K45" s="198">
        <f t="shared" si="18"/>
        <v>7845.8418852189998</v>
      </c>
      <c r="L45" s="198">
        <f t="shared" si="18"/>
        <v>7989.0462426189606</v>
      </c>
      <c r="M45" s="701">
        <f t="shared" si="18"/>
        <v>7711.4534062298826</v>
      </c>
      <c r="N45" s="701">
        <f t="shared" si="18"/>
        <v>7933.7434739209157</v>
      </c>
      <c r="O45" s="701">
        <f t="shared" si="18"/>
        <v>7911.6615016773139</v>
      </c>
      <c r="P45" s="701">
        <f t="shared" si="18"/>
        <v>7609.3200952555935</v>
      </c>
      <c r="Q45" s="701">
        <f t="shared" si="18"/>
        <v>7663.719627079101</v>
      </c>
      <c r="R45" s="701">
        <f t="shared" si="18"/>
        <v>7316.5556075027125</v>
      </c>
      <c r="S45" s="701">
        <f t="shared" si="18"/>
        <v>7246.3509780257727</v>
      </c>
      <c r="T45" s="701">
        <f t="shared" si="13"/>
        <v>7117.9100966113047</v>
      </c>
      <c r="U45" s="701">
        <f t="shared" si="13"/>
        <v>6146.7604375860101</v>
      </c>
      <c r="V45" s="56"/>
      <c r="W45" s="710"/>
      <c r="X45" s="200"/>
      <c r="Y45" s="709"/>
      <c r="Z45" s="708"/>
      <c r="AA45" s="707"/>
      <c r="AB45" s="706"/>
      <c r="AC45" s="706"/>
      <c r="AD45" s="705"/>
      <c r="AE45" s="704"/>
      <c r="AG45" s="703"/>
      <c r="AH45" s="702"/>
    </row>
    <row r="46" spans="1:34">
      <c r="A46" t="s">
        <v>523</v>
      </c>
      <c r="B46" s="686" t="s">
        <v>531</v>
      </c>
      <c r="C46" s="701">
        <f t="shared" ref="C46:S46" si="19">C35/C$14*C$13</f>
        <v>1484.7499320281477</v>
      </c>
      <c r="D46" s="198">
        <f t="shared" si="19"/>
        <v>1537.9675441147369</v>
      </c>
      <c r="E46" s="198">
        <f t="shared" si="19"/>
        <v>1587.8691316060092</v>
      </c>
      <c r="F46" s="198">
        <f t="shared" si="19"/>
        <v>1567.545564608225</v>
      </c>
      <c r="G46" s="198">
        <f t="shared" si="19"/>
        <v>1447.9198230385889</v>
      </c>
      <c r="H46" s="701">
        <f t="shared" si="19"/>
        <v>1527.9419319272274</v>
      </c>
      <c r="I46" s="198">
        <f t="shared" si="19"/>
        <v>1592.4912333596651</v>
      </c>
      <c r="J46" s="198">
        <f t="shared" si="19"/>
        <v>1692.7853512591084</v>
      </c>
      <c r="K46" s="198">
        <f t="shared" si="19"/>
        <v>1664.0382168421634</v>
      </c>
      <c r="L46" s="198">
        <f t="shared" si="19"/>
        <v>1676.7422085864082</v>
      </c>
      <c r="M46" s="701">
        <f t="shared" si="19"/>
        <v>1620.4985579139025</v>
      </c>
      <c r="N46" s="701">
        <f t="shared" si="19"/>
        <v>1601.7939308059699</v>
      </c>
      <c r="O46" s="701">
        <f t="shared" si="19"/>
        <v>1515.7962957828522</v>
      </c>
      <c r="P46" s="701">
        <f t="shared" si="19"/>
        <v>1444.5690558923313</v>
      </c>
      <c r="Q46" s="701">
        <f t="shared" si="19"/>
        <v>1336.3452699600477</v>
      </c>
      <c r="R46" s="701">
        <f t="shared" si="19"/>
        <v>1247.8589786579444</v>
      </c>
      <c r="S46" s="701">
        <f t="shared" si="19"/>
        <v>1201.5260260075784</v>
      </c>
      <c r="T46" s="701">
        <f t="shared" si="13"/>
        <v>1289.8453295097879</v>
      </c>
      <c r="U46" s="701">
        <f t="shared" si="13"/>
        <v>1083.4649051347828</v>
      </c>
      <c r="V46" s="56"/>
      <c r="W46" s="710"/>
      <c r="X46" s="200"/>
      <c r="Y46" s="709"/>
      <c r="Z46" s="708"/>
      <c r="AA46" s="707"/>
      <c r="AB46" s="706"/>
      <c r="AC46" s="706"/>
      <c r="AD46" s="705"/>
      <c r="AE46" s="704"/>
      <c r="AG46" s="703"/>
      <c r="AH46" s="702"/>
    </row>
    <row r="47" spans="1:34">
      <c r="A47" t="s">
        <v>522</v>
      </c>
      <c r="B47" s="686" t="s">
        <v>531</v>
      </c>
      <c r="C47" s="701">
        <f t="shared" ref="C47:S47" si="20">C36/C$14*C$13</f>
        <v>209.59857570861976</v>
      </c>
      <c r="D47" s="198">
        <f t="shared" si="20"/>
        <v>215.33907714670391</v>
      </c>
      <c r="E47" s="198">
        <f t="shared" si="20"/>
        <v>218.64697920364657</v>
      </c>
      <c r="F47" s="198">
        <f t="shared" si="20"/>
        <v>216.80210028063266</v>
      </c>
      <c r="G47" s="198">
        <f t="shared" si="20"/>
        <v>198.58205786279612</v>
      </c>
      <c r="H47" s="701">
        <f t="shared" si="20"/>
        <v>203.16375431159409</v>
      </c>
      <c r="I47" s="198">
        <f t="shared" si="20"/>
        <v>216.26853246040923</v>
      </c>
      <c r="J47" s="198">
        <f t="shared" si="20"/>
        <v>235.01488835027803</v>
      </c>
      <c r="K47" s="198">
        <f t="shared" si="20"/>
        <v>214.81729576704646</v>
      </c>
      <c r="L47" s="198">
        <f t="shared" si="20"/>
        <v>208.97160020176713</v>
      </c>
      <c r="M47" s="701">
        <f t="shared" si="20"/>
        <v>206.54280587106155</v>
      </c>
      <c r="N47" s="701">
        <f t="shared" si="20"/>
        <v>180.21306724525186</v>
      </c>
      <c r="O47" s="701">
        <f t="shared" si="20"/>
        <v>164.6041131101257</v>
      </c>
      <c r="P47" s="701">
        <f t="shared" si="20"/>
        <v>146.89357690095278</v>
      </c>
      <c r="Q47" s="701">
        <f t="shared" si="20"/>
        <v>111.42594254076759</v>
      </c>
      <c r="R47" s="701">
        <f t="shared" si="20"/>
        <v>90.342806486718615</v>
      </c>
      <c r="S47" s="701">
        <f t="shared" si="20"/>
        <v>87.546806869215217</v>
      </c>
      <c r="T47" s="701">
        <f t="shared" si="13"/>
        <v>120.85112184415895</v>
      </c>
      <c r="U47" s="701">
        <f t="shared" si="13"/>
        <v>80.970753541972371</v>
      </c>
      <c r="V47" s="56"/>
      <c r="W47" s="710"/>
      <c r="X47" s="200"/>
      <c r="Y47" s="709"/>
      <c r="Z47" s="708"/>
      <c r="AA47" s="707"/>
      <c r="AB47" s="706"/>
      <c r="AC47" s="706"/>
      <c r="AD47" s="705"/>
      <c r="AE47" s="704"/>
      <c r="AG47" s="703"/>
      <c r="AH47" s="702"/>
    </row>
    <row r="48" spans="1:34" ht="15" thickBot="1">
      <c r="A48" s="195" t="s">
        <v>521</v>
      </c>
      <c r="B48" s="686" t="s">
        <v>531</v>
      </c>
      <c r="C48" s="701">
        <f t="shared" ref="C48:S48" si="21">C37/C$14*C$13</f>
        <v>5358.8943891970566</v>
      </c>
      <c r="D48" s="198">
        <f t="shared" si="21"/>
        <v>4973.4404803581601</v>
      </c>
      <c r="E48" s="198">
        <f t="shared" si="21"/>
        <v>3768.5134205924837</v>
      </c>
      <c r="F48" s="198">
        <f t="shared" si="21"/>
        <v>3154.8891778592924</v>
      </c>
      <c r="G48" s="198">
        <f t="shared" si="21"/>
        <v>2646.9181652158818</v>
      </c>
      <c r="H48" s="701">
        <f t="shared" si="21"/>
        <v>2540.1140244804378</v>
      </c>
      <c r="I48" s="198">
        <f t="shared" si="21"/>
        <v>1594.8513366405937</v>
      </c>
      <c r="J48" s="198">
        <f t="shared" si="21"/>
        <v>1807.9245792325924</v>
      </c>
      <c r="K48" s="198">
        <f t="shared" si="21"/>
        <v>1465.4840224145166</v>
      </c>
      <c r="L48" s="198">
        <f t="shared" si="21"/>
        <v>1305.4673345855761</v>
      </c>
      <c r="M48" s="701">
        <f t="shared" si="21"/>
        <v>1219.0813990448648</v>
      </c>
      <c r="N48" s="701">
        <f t="shared" si="21"/>
        <v>1073.9227364062374</v>
      </c>
      <c r="O48" s="701">
        <f t="shared" si="21"/>
        <v>1025.2831521967053</v>
      </c>
      <c r="P48" s="701">
        <f t="shared" si="21"/>
        <v>878.81011614633553</v>
      </c>
      <c r="Q48" s="701">
        <f t="shared" si="21"/>
        <v>813.63815628295936</v>
      </c>
      <c r="R48" s="701">
        <f t="shared" si="21"/>
        <v>691.75353478857301</v>
      </c>
      <c r="S48" s="701">
        <f t="shared" si="21"/>
        <v>725.88180216791272</v>
      </c>
      <c r="T48" s="701">
        <f t="shared" si="13"/>
        <v>785.33033397485724</v>
      </c>
      <c r="U48" s="701">
        <f t="shared" si="13"/>
        <v>625.51587003545262</v>
      </c>
      <c r="V48" s="56"/>
      <c r="W48" s="700">
        <f>AE48-C48/1000</f>
        <v>3.3681056108029441</v>
      </c>
      <c r="X48" s="699">
        <f>AF48-H48/1000</f>
        <v>1.9248859755195622</v>
      </c>
      <c r="Y48" s="698">
        <f>AG48-L48/1000</f>
        <v>0.15053266541442389</v>
      </c>
      <c r="Z48" s="697">
        <f>AH48-M48/1000</f>
        <v>-0.16208139904486485</v>
      </c>
      <c r="AA48" s="696">
        <f>W48/AE48</f>
        <v>0.38594082855539635</v>
      </c>
      <c r="AB48" s="695">
        <f>X48/AF48</f>
        <v>0.43110548163931967</v>
      </c>
      <c r="AC48" s="695">
        <f>Y48/AG48</f>
        <v>0.10338781965276367</v>
      </c>
      <c r="AD48" s="694">
        <f>Z48/AH48</f>
        <v>-0.1533409640916413</v>
      </c>
      <c r="AE48" s="693">
        <v>8.7270000000000003</v>
      </c>
      <c r="AF48" s="692">
        <v>4.4649999999999999</v>
      </c>
      <c r="AG48" s="691">
        <v>1.456</v>
      </c>
      <c r="AH48" s="690">
        <v>1.0569999999999999</v>
      </c>
    </row>
    <row r="49" spans="1:22">
      <c r="V49" s="56"/>
    </row>
    <row r="50" spans="1:22">
      <c r="V50" s="56"/>
    </row>
    <row r="51" spans="1:22">
      <c r="V51" s="56"/>
    </row>
    <row r="52" spans="1:22">
      <c r="A52" s="68" t="s">
        <v>530</v>
      </c>
      <c r="V52" s="56"/>
    </row>
    <row r="53" spans="1:22">
      <c r="A53" t="s">
        <v>528</v>
      </c>
      <c r="B53" s="686" t="s">
        <v>520</v>
      </c>
      <c r="C53" s="688">
        <f t="shared" ref="C53:S53" si="22">C30/C$15</f>
        <v>0.46049208308822676</v>
      </c>
      <c r="D53" s="689">
        <f t="shared" si="22"/>
        <v>0.43599818483300817</v>
      </c>
      <c r="E53" s="689">
        <f t="shared" si="22"/>
        <v>0.41738592218688481</v>
      </c>
      <c r="F53" s="689">
        <f t="shared" si="22"/>
        <v>0.37868239324725489</v>
      </c>
      <c r="G53" s="689">
        <f t="shared" si="22"/>
        <v>0.36319109427491086</v>
      </c>
      <c r="H53" s="688">
        <f t="shared" si="22"/>
        <v>0.37770167710284208</v>
      </c>
      <c r="I53" s="689">
        <f t="shared" si="22"/>
        <v>0.37602112831314333</v>
      </c>
      <c r="J53" s="689">
        <f t="shared" si="22"/>
        <v>0.39624870024489911</v>
      </c>
      <c r="K53" s="689">
        <f t="shared" si="22"/>
        <v>0.39950948482424148</v>
      </c>
      <c r="L53" s="689">
        <f t="shared" si="22"/>
        <v>0.3912030162475108</v>
      </c>
      <c r="M53" s="688">
        <f t="shared" si="22"/>
        <v>0.38151061385187601</v>
      </c>
      <c r="N53" s="688">
        <f t="shared" si="22"/>
        <v>0.36012085111293834</v>
      </c>
      <c r="O53" s="688">
        <f t="shared" si="22"/>
        <v>0.34181260020668691</v>
      </c>
      <c r="P53" s="688">
        <f t="shared" si="22"/>
        <v>0.3317049582864775</v>
      </c>
      <c r="Q53" s="688">
        <f t="shared" si="22"/>
        <v>0.32254036782538525</v>
      </c>
      <c r="R53" s="688">
        <f t="shared" si="22"/>
        <v>0.31413635569891879</v>
      </c>
      <c r="S53" s="688">
        <f t="shared" si="22"/>
        <v>0.3083638039281294</v>
      </c>
      <c r="T53" s="688">
        <f t="shared" ref="T53:U60" si="23">T30/T$15</f>
        <v>0.32075828781476767</v>
      </c>
      <c r="U53" s="688">
        <f t="shared" si="23"/>
        <v>0.32590680620008233</v>
      </c>
      <c r="V53" s="56"/>
    </row>
    <row r="54" spans="1:22">
      <c r="A54" t="s">
        <v>527</v>
      </c>
      <c r="B54" s="686" t="s">
        <v>520</v>
      </c>
      <c r="C54" s="688">
        <f t="shared" ref="C54:S54" si="24">C31/C$15</f>
        <v>0.65585553681814823</v>
      </c>
      <c r="D54" s="689">
        <f t="shared" si="24"/>
        <v>0.61841807730158027</v>
      </c>
      <c r="E54" s="689">
        <f t="shared" si="24"/>
        <v>0.48528775048933354</v>
      </c>
      <c r="F54" s="689">
        <f t="shared" si="24"/>
        <v>0.390888287954407</v>
      </c>
      <c r="G54" s="689">
        <f t="shared" si="24"/>
        <v>0.34393564939499133</v>
      </c>
      <c r="H54" s="688">
        <f t="shared" si="24"/>
        <v>0.29170935568917533</v>
      </c>
      <c r="I54" s="689">
        <f t="shared" si="24"/>
        <v>0.25221011158325396</v>
      </c>
      <c r="J54" s="689">
        <f t="shared" si="24"/>
        <v>0.2642260717798004</v>
      </c>
      <c r="K54" s="689">
        <f t="shared" si="24"/>
        <v>0.20307908889201606</v>
      </c>
      <c r="L54" s="689">
        <f t="shared" si="24"/>
        <v>0.15315249286199464</v>
      </c>
      <c r="M54" s="688">
        <f t="shared" si="24"/>
        <v>0.1438014866947426</v>
      </c>
      <c r="N54" s="688">
        <f t="shared" si="24"/>
        <v>0.10867841101202493</v>
      </c>
      <c r="O54" s="688">
        <f t="shared" si="24"/>
        <v>9.536400614882054E-2</v>
      </c>
      <c r="P54" s="688">
        <f t="shared" si="24"/>
        <v>8.8738706749712112E-2</v>
      </c>
      <c r="Q54" s="688">
        <f t="shared" si="24"/>
        <v>7.3421467906390814E-2</v>
      </c>
      <c r="R54" s="688">
        <f t="shared" si="24"/>
        <v>6.6789989371115965E-2</v>
      </c>
      <c r="S54" s="688">
        <f t="shared" si="24"/>
        <v>6.0342679996586879E-2</v>
      </c>
      <c r="T54" s="688">
        <f t="shared" si="23"/>
        <v>7.6496769111174312E-2</v>
      </c>
      <c r="U54" s="688">
        <f t="shared" si="23"/>
        <v>6.8906652682396249E-2</v>
      </c>
      <c r="V54" s="56"/>
    </row>
    <row r="55" spans="1:22">
      <c r="A55" t="s">
        <v>526</v>
      </c>
      <c r="B55" s="686" t="s">
        <v>520</v>
      </c>
      <c r="C55" s="688">
        <f t="shared" ref="C55:S55" si="25">C32/C$15</f>
        <v>6.368255832758371E-2</v>
      </c>
      <c r="D55" s="689">
        <f t="shared" si="25"/>
        <v>6.2991845348489311E-2</v>
      </c>
      <c r="E55" s="689">
        <f t="shared" si="25"/>
        <v>8.7168286912526663E-2</v>
      </c>
      <c r="F55" s="689">
        <f t="shared" si="25"/>
        <v>8.6039382458904148E-2</v>
      </c>
      <c r="G55" s="689">
        <f t="shared" si="25"/>
        <v>8.8173894659308735E-2</v>
      </c>
      <c r="H55" s="688">
        <f t="shared" si="25"/>
        <v>9.2584987617576456E-2</v>
      </c>
      <c r="I55" s="689">
        <f t="shared" si="25"/>
        <v>8.1517809632280155E-2</v>
      </c>
      <c r="J55" s="689">
        <f t="shared" si="25"/>
        <v>9.5289860970700357E-2</v>
      </c>
      <c r="K55" s="689">
        <f t="shared" si="25"/>
        <v>0.10925679510231778</v>
      </c>
      <c r="L55" s="689">
        <f t="shared" si="25"/>
        <v>0.11873310931258872</v>
      </c>
      <c r="M55" s="688">
        <f t="shared" si="25"/>
        <v>0.12144026948618805</v>
      </c>
      <c r="N55" s="688">
        <f t="shared" si="25"/>
        <v>0.12977978823902717</v>
      </c>
      <c r="O55" s="688">
        <f t="shared" si="25"/>
        <v>0.12721532147013934</v>
      </c>
      <c r="P55" s="688">
        <f t="shared" si="25"/>
        <v>0.12966154658395312</v>
      </c>
      <c r="Q55" s="688">
        <f t="shared" si="25"/>
        <v>0.13426715135027151</v>
      </c>
      <c r="R55" s="688">
        <f t="shared" si="25"/>
        <v>0.14012568002710135</v>
      </c>
      <c r="S55" s="688">
        <f t="shared" si="25"/>
        <v>0.13229651179463917</v>
      </c>
      <c r="T55" s="688">
        <f t="shared" si="23"/>
        <v>0.13075131041711946</v>
      </c>
      <c r="U55" s="688">
        <f t="shared" si="23"/>
        <v>0.15267669765964426</v>
      </c>
      <c r="V55" s="56"/>
    </row>
    <row r="56" spans="1:22">
      <c r="A56" t="s">
        <v>525</v>
      </c>
      <c r="B56" s="686" t="s">
        <v>520</v>
      </c>
      <c r="C56" s="688">
        <f t="shared" ref="C56:S56" si="26">C33/C$15</f>
        <v>0.13184584015447354</v>
      </c>
      <c r="D56" s="689">
        <f t="shared" si="26"/>
        <v>0.13312600735117022</v>
      </c>
      <c r="E56" s="689">
        <f t="shared" si="26"/>
        <v>0.13669433481568291</v>
      </c>
      <c r="F56" s="689">
        <f t="shared" si="26"/>
        <v>0.13404799294277195</v>
      </c>
      <c r="G56" s="689">
        <f t="shared" si="26"/>
        <v>0.13175129596504645</v>
      </c>
      <c r="H56" s="688">
        <f t="shared" si="26"/>
        <v>0.13259374138051194</v>
      </c>
      <c r="I56" s="689">
        <f t="shared" si="26"/>
        <v>0.1344303792780015</v>
      </c>
      <c r="J56" s="689">
        <f t="shared" si="26"/>
        <v>0.138133135552574</v>
      </c>
      <c r="K56" s="689">
        <f t="shared" si="26"/>
        <v>0.13784816912297057</v>
      </c>
      <c r="L56" s="689">
        <f t="shared" si="26"/>
        <v>0.1382241112199224</v>
      </c>
      <c r="M56" s="688">
        <f t="shared" si="26"/>
        <v>0.14215943401441447</v>
      </c>
      <c r="N56" s="688">
        <f t="shared" si="26"/>
        <v>0.14591664271171001</v>
      </c>
      <c r="O56" s="688">
        <f t="shared" si="26"/>
        <v>0.14703372861753602</v>
      </c>
      <c r="P56" s="688">
        <f t="shared" si="26"/>
        <v>0.14186657544003201</v>
      </c>
      <c r="Q56" s="688">
        <f t="shared" si="26"/>
        <v>0.14516520969154381</v>
      </c>
      <c r="R56" s="688">
        <f t="shared" si="26"/>
        <v>0.14458386989690158</v>
      </c>
      <c r="S56" s="688">
        <f t="shared" si="26"/>
        <v>0.14290953823697783</v>
      </c>
      <c r="T56" s="688">
        <f t="shared" si="23"/>
        <v>0.14458304445348522</v>
      </c>
      <c r="U56" s="688">
        <f t="shared" si="23"/>
        <v>0.14200993838065967</v>
      </c>
      <c r="V56" s="56"/>
    </row>
    <row r="57" spans="1:22">
      <c r="A57" t="s">
        <v>524</v>
      </c>
      <c r="B57" s="686" t="s">
        <v>520</v>
      </c>
      <c r="C57" s="688">
        <f t="shared" ref="C57:S57" si="27">C34/C$15</f>
        <v>2.2709058135676596E-2</v>
      </c>
      <c r="D57" s="689">
        <f t="shared" si="27"/>
        <v>2.3254388105101734E-2</v>
      </c>
      <c r="E57" s="689">
        <f t="shared" si="27"/>
        <v>2.3286104061953014E-2</v>
      </c>
      <c r="F57" s="689">
        <f t="shared" si="27"/>
        <v>2.3150478392185966E-2</v>
      </c>
      <c r="G57" s="689">
        <f t="shared" si="27"/>
        <v>2.5162353742333259E-2</v>
      </c>
      <c r="H57" s="688">
        <f t="shared" si="27"/>
        <v>2.5481581594155776E-2</v>
      </c>
      <c r="I57" s="689">
        <f t="shared" si="27"/>
        <v>2.9678840771105178E-2</v>
      </c>
      <c r="J57" s="689">
        <f t="shared" si="27"/>
        <v>3.2540415672488186E-2</v>
      </c>
      <c r="K57" s="689">
        <f t="shared" si="27"/>
        <v>3.9203985606684318E-2</v>
      </c>
      <c r="L57" s="689">
        <f t="shared" si="27"/>
        <v>4.2339323573855725E-2</v>
      </c>
      <c r="M57" s="688">
        <f t="shared" si="27"/>
        <v>3.9787975270815318E-2</v>
      </c>
      <c r="N57" s="688">
        <f t="shared" si="27"/>
        <v>4.0266993781767783E-2</v>
      </c>
      <c r="O57" s="688">
        <f t="shared" si="27"/>
        <v>3.9050077618423863E-2</v>
      </c>
      <c r="P57" s="688">
        <f t="shared" si="27"/>
        <v>3.9011680901973218E-2</v>
      </c>
      <c r="Q57" s="688">
        <f t="shared" si="27"/>
        <v>3.9216348703595437E-2</v>
      </c>
      <c r="R57" s="688">
        <f t="shared" si="27"/>
        <v>4.0161628528426016E-2</v>
      </c>
      <c r="S57" s="688">
        <f t="shared" si="27"/>
        <v>3.8128384417431431E-2</v>
      </c>
      <c r="T57" s="688">
        <f t="shared" si="23"/>
        <v>3.7667460550459553E-2</v>
      </c>
      <c r="U57" s="688">
        <f t="shared" si="23"/>
        <v>3.8159473113535895E-2</v>
      </c>
      <c r="V57" s="56"/>
    </row>
    <row r="58" spans="1:22">
      <c r="A58" t="s">
        <v>523</v>
      </c>
      <c r="B58" s="686" t="s">
        <v>520</v>
      </c>
      <c r="C58" s="688">
        <f t="shared" ref="C58:S58" si="28">C35/C$15</f>
        <v>5.8561357653782592E-3</v>
      </c>
      <c r="D58" s="689">
        <f t="shared" si="28"/>
        <v>5.8983250456040625E-3</v>
      </c>
      <c r="E58" s="689">
        <f t="shared" si="28"/>
        <v>6.0671563789102753E-3</v>
      </c>
      <c r="F58" s="689">
        <f t="shared" si="28"/>
        <v>5.9411985850317999E-3</v>
      </c>
      <c r="G58" s="689">
        <f t="shared" si="28"/>
        <v>6.1142330523210053E-3</v>
      </c>
      <c r="H58" s="688">
        <f t="shared" si="28"/>
        <v>6.368696771577761E-3</v>
      </c>
      <c r="I58" s="689">
        <f t="shared" si="28"/>
        <v>6.8882251643473365E-3</v>
      </c>
      <c r="J58" s="689">
        <f t="shared" si="28"/>
        <v>7.6952204676606507E-3</v>
      </c>
      <c r="K58" s="689">
        <f t="shared" si="28"/>
        <v>8.3148413205923113E-3</v>
      </c>
      <c r="L58" s="689">
        <f t="shared" si="28"/>
        <v>8.886183502175956E-3</v>
      </c>
      <c r="M58" s="688">
        <f t="shared" si="28"/>
        <v>8.3611160117470808E-3</v>
      </c>
      <c r="N58" s="688">
        <f t="shared" si="28"/>
        <v>8.129759484088948E-3</v>
      </c>
      <c r="O58" s="688">
        <f t="shared" si="28"/>
        <v>7.4816096456465867E-3</v>
      </c>
      <c r="P58" s="688">
        <f t="shared" si="28"/>
        <v>7.4060581423659256E-3</v>
      </c>
      <c r="Q58" s="688">
        <f t="shared" si="28"/>
        <v>6.8382697495847087E-3</v>
      </c>
      <c r="R58" s="688">
        <f t="shared" si="28"/>
        <v>6.8496778327400785E-3</v>
      </c>
      <c r="S58" s="688">
        <f t="shared" si="28"/>
        <v>6.3221125151250888E-3</v>
      </c>
      <c r="T58" s="688">
        <f t="shared" si="23"/>
        <v>6.8257673117611993E-3</v>
      </c>
      <c r="U58" s="688">
        <f t="shared" si="23"/>
        <v>6.7262178730992626E-3</v>
      </c>
      <c r="V58" s="56"/>
    </row>
    <row r="59" spans="1:22">
      <c r="A59" t="s">
        <v>522</v>
      </c>
      <c r="B59" s="686" t="s">
        <v>520</v>
      </c>
      <c r="C59" s="688">
        <f t="shared" ref="C59:S59" si="29">C36/C$15</f>
        <v>8.2669659657968683E-4</v>
      </c>
      <c r="D59" s="689">
        <f t="shared" si="29"/>
        <v>8.2585609617839438E-4</v>
      </c>
      <c r="E59" s="689">
        <f t="shared" si="29"/>
        <v>8.354374980910084E-4</v>
      </c>
      <c r="F59" s="689">
        <f t="shared" si="29"/>
        <v>8.2170774521705308E-4</v>
      </c>
      <c r="G59" s="689">
        <f t="shared" si="29"/>
        <v>8.3856644716319428E-4</v>
      </c>
      <c r="H59" s="688">
        <f t="shared" si="29"/>
        <v>8.4681774820713008E-4</v>
      </c>
      <c r="I59" s="689">
        <f t="shared" si="29"/>
        <v>9.3545654528184689E-4</v>
      </c>
      <c r="J59" s="689">
        <f t="shared" si="29"/>
        <v>1.0683524510020543E-3</v>
      </c>
      <c r="K59" s="689">
        <f t="shared" si="29"/>
        <v>1.0733958566236214E-3</v>
      </c>
      <c r="L59" s="689">
        <f t="shared" si="29"/>
        <v>1.1074809094844572E-3</v>
      </c>
      <c r="M59" s="688">
        <f t="shared" si="29"/>
        <v>1.0656771972094861E-3</v>
      </c>
      <c r="N59" s="688">
        <f t="shared" si="29"/>
        <v>9.1465504046245273E-4</v>
      </c>
      <c r="O59" s="688">
        <f t="shared" si="29"/>
        <v>8.1244671449852879E-4</v>
      </c>
      <c r="P59" s="688">
        <f t="shared" si="29"/>
        <v>7.5309821073008063E-4</v>
      </c>
      <c r="Q59" s="688">
        <f t="shared" si="29"/>
        <v>5.701824740385207E-4</v>
      </c>
      <c r="R59" s="688">
        <f t="shared" si="29"/>
        <v>4.959046891701936E-4</v>
      </c>
      <c r="S59" s="688">
        <f t="shared" si="29"/>
        <v>4.6064816856793877E-4</v>
      </c>
      <c r="T59" s="688">
        <f t="shared" si="23"/>
        <v>6.3953531342167815E-4</v>
      </c>
      <c r="U59" s="688">
        <f t="shared" si="23"/>
        <v>5.0267150056381251E-4</v>
      </c>
      <c r="V59" s="56"/>
    </row>
    <row r="60" spans="1:22">
      <c r="A60" t="s">
        <v>521</v>
      </c>
      <c r="B60" s="686" t="s">
        <v>520</v>
      </c>
      <c r="C60" s="688">
        <f t="shared" ref="C60:S60" si="30">C37/C$15</f>
        <v>2.1136497411785585E-2</v>
      </c>
      <c r="D60" s="689">
        <f t="shared" si="30"/>
        <v>1.9073854100739827E-2</v>
      </c>
      <c r="E60" s="689">
        <f t="shared" si="30"/>
        <v>1.4399272448625097E-2</v>
      </c>
      <c r="F60" s="689">
        <f t="shared" si="30"/>
        <v>1.195743431171928E-2</v>
      </c>
      <c r="G60" s="689">
        <f t="shared" si="30"/>
        <v>1.1177327829236092E-2</v>
      </c>
      <c r="H60" s="688">
        <f t="shared" si="30"/>
        <v>1.0587585594135291E-2</v>
      </c>
      <c r="I60" s="689">
        <f t="shared" si="30"/>
        <v>6.8984336493107699E-3</v>
      </c>
      <c r="J60" s="689">
        <f t="shared" si="30"/>
        <v>8.2186310365630639E-3</v>
      </c>
      <c r="K60" s="689">
        <f t="shared" si="30"/>
        <v>7.3227086859603309E-3</v>
      </c>
      <c r="L60" s="689">
        <f t="shared" si="30"/>
        <v>6.9185484994762373E-3</v>
      </c>
      <c r="M60" s="688">
        <f t="shared" si="30"/>
        <v>6.2899661066644422E-3</v>
      </c>
      <c r="N60" s="688">
        <f t="shared" si="30"/>
        <v>5.4505972232547703E-3</v>
      </c>
      <c r="O60" s="688">
        <f t="shared" si="30"/>
        <v>5.0605535468947315E-3</v>
      </c>
      <c r="P60" s="688">
        <f t="shared" si="30"/>
        <v>4.5055089541972126E-3</v>
      </c>
      <c r="Q60" s="688">
        <f t="shared" si="30"/>
        <v>4.1635027386178261E-3</v>
      </c>
      <c r="R60" s="688">
        <f t="shared" si="30"/>
        <v>3.797134879821795E-3</v>
      </c>
      <c r="S60" s="688">
        <f t="shared" si="30"/>
        <v>3.8193982707440495E-3</v>
      </c>
      <c r="T60" s="688">
        <f t="shared" si="23"/>
        <v>4.1559107901854896E-3</v>
      </c>
      <c r="U60" s="688">
        <f t="shared" si="23"/>
        <v>3.8832416306242078E-3</v>
      </c>
      <c r="V60" s="56"/>
    </row>
    <row r="61" spans="1:22">
      <c r="V61" s="56"/>
    </row>
    <row r="62" spans="1:22">
      <c r="A62" s="68" t="s">
        <v>529</v>
      </c>
      <c r="V62" s="56"/>
    </row>
    <row r="63" spans="1:22">
      <c r="A63" t="s">
        <v>528</v>
      </c>
      <c r="B63" s="686" t="s">
        <v>520</v>
      </c>
      <c r="C63" s="688">
        <f t="shared" ref="C63:H70" si="31">C30/C$16</f>
        <v>0.43500210533797667</v>
      </c>
      <c r="D63" s="689">
        <f t="shared" si="31"/>
        <v>0.41129271825302338</v>
      </c>
      <c r="E63" s="689">
        <f t="shared" si="31"/>
        <v>0.39333091839624129</v>
      </c>
      <c r="F63" s="689">
        <f t="shared" si="31"/>
        <v>0.35374091663240814</v>
      </c>
      <c r="G63" s="689">
        <f t="shared" si="31"/>
        <v>0.33353171089773909</v>
      </c>
      <c r="H63" s="688">
        <f t="shared" si="31"/>
        <v>0.34212578195174209</v>
      </c>
      <c r="I63" s="689">
        <f>I41/I$16</f>
        <v>0.28915177918059565</v>
      </c>
      <c r="J63" s="689">
        <f t="shared" ref="J63:S63" si="32">J30/J$16</f>
        <v>0.33224480251320088</v>
      </c>
      <c r="K63" s="689">
        <f t="shared" si="32"/>
        <v>0.32335057782304177</v>
      </c>
      <c r="L63" s="689">
        <f t="shared" si="32"/>
        <v>0.30933341006759679</v>
      </c>
      <c r="M63" s="688">
        <f t="shared" si="32"/>
        <v>0.30640312276736387</v>
      </c>
      <c r="N63" s="688">
        <f t="shared" si="32"/>
        <v>0.28804327740305441</v>
      </c>
      <c r="O63" s="688">
        <f t="shared" si="32"/>
        <v>0.27404511138929816</v>
      </c>
      <c r="P63" s="688">
        <f t="shared" si="32"/>
        <v>0.26352260431377672</v>
      </c>
      <c r="Q63" s="688">
        <f t="shared" si="32"/>
        <v>0.2536444502884001</v>
      </c>
      <c r="R63" s="688">
        <f t="shared" si="32"/>
        <v>0.24374495099966992</v>
      </c>
      <c r="S63" s="688">
        <f t="shared" si="32"/>
        <v>0.23954348374379214</v>
      </c>
      <c r="T63" s="688">
        <f t="shared" ref="T63:U70" si="33">T30/T$16</f>
        <v>0.24969000488299289</v>
      </c>
      <c r="U63" s="688">
        <f t="shared" si="33"/>
        <v>0.23563574131661244</v>
      </c>
      <c r="V63" s="56"/>
    </row>
    <row r="64" spans="1:22">
      <c r="A64" t="s">
        <v>527</v>
      </c>
      <c r="B64" s="686" t="s">
        <v>520</v>
      </c>
      <c r="C64" s="688">
        <f t="shared" si="31"/>
        <v>0.6195514533065325</v>
      </c>
      <c r="D64" s="689">
        <f t="shared" si="31"/>
        <v>0.58337594255717895</v>
      </c>
      <c r="E64" s="689">
        <f t="shared" si="31"/>
        <v>0.45731939301237268</v>
      </c>
      <c r="F64" s="689">
        <f t="shared" si="31"/>
        <v>0.36514288424173258</v>
      </c>
      <c r="G64" s="689">
        <f t="shared" si="31"/>
        <v>0.3158487291943512</v>
      </c>
      <c r="H64" s="688">
        <f t="shared" si="31"/>
        <v>0.26423311694913043</v>
      </c>
      <c r="I64" s="689">
        <f t="shared" ref="I64:I70" si="34">I31/I$16</f>
        <v>0.22103531640010424</v>
      </c>
      <c r="J64" s="689">
        <f t="shared" ref="J64:S64" si="35">J31/J$16</f>
        <v>0.22154707127887596</v>
      </c>
      <c r="K64" s="689">
        <f t="shared" si="35"/>
        <v>0.16436591177778664</v>
      </c>
      <c r="L64" s="689">
        <f t="shared" si="35"/>
        <v>0.12110127199883398</v>
      </c>
      <c r="M64" s="688">
        <f t="shared" si="35"/>
        <v>0.11549147777829773</v>
      </c>
      <c r="N64" s="688">
        <f t="shared" si="35"/>
        <v>8.692661253608587E-2</v>
      </c>
      <c r="O64" s="688">
        <f t="shared" si="35"/>
        <v>7.6457215654954017E-2</v>
      </c>
      <c r="P64" s="688">
        <f t="shared" si="35"/>
        <v>7.0498358622437182E-2</v>
      </c>
      <c r="Q64" s="688">
        <f t="shared" si="35"/>
        <v>5.7738347581242515E-2</v>
      </c>
      <c r="R64" s="688">
        <f t="shared" si="35"/>
        <v>5.1823745934502063E-2</v>
      </c>
      <c r="S64" s="688">
        <f t="shared" si="35"/>
        <v>4.687546203765286E-2</v>
      </c>
      <c r="T64" s="688">
        <f t="shared" si="33"/>
        <v>5.9547888171583227E-2</v>
      </c>
      <c r="U64" s="688">
        <f t="shared" si="33"/>
        <v>4.9820592505498522E-2</v>
      </c>
      <c r="V64" s="56"/>
    </row>
    <row r="65" spans="1:22">
      <c r="A65" t="s">
        <v>526</v>
      </c>
      <c r="B65" s="686" t="s">
        <v>520</v>
      </c>
      <c r="C65" s="688">
        <f t="shared" si="31"/>
        <v>6.015748796380483E-2</v>
      </c>
      <c r="D65" s="689">
        <f t="shared" si="31"/>
        <v>5.9422465969846412E-2</v>
      </c>
      <c r="E65" s="689">
        <f t="shared" si="31"/>
        <v>8.2144558605835319E-2</v>
      </c>
      <c r="F65" s="689">
        <f t="shared" si="31"/>
        <v>8.0372498326391956E-2</v>
      </c>
      <c r="G65" s="689">
        <f t="shared" si="31"/>
        <v>8.097332342619562E-2</v>
      </c>
      <c r="H65" s="688">
        <f t="shared" si="31"/>
        <v>8.3864364936433455E-2</v>
      </c>
      <c r="I65" s="689">
        <f t="shared" si="34"/>
        <v>7.1441683012644419E-2</v>
      </c>
      <c r="J65" s="689">
        <f t="shared" ref="J65:S65" si="36">J32/J$16</f>
        <v>7.9898207918798744E-2</v>
      </c>
      <c r="K65" s="689">
        <f t="shared" si="36"/>
        <v>8.8429059057184345E-2</v>
      </c>
      <c r="L65" s="689">
        <f t="shared" si="36"/>
        <v>9.3885057287887166E-2</v>
      </c>
      <c r="M65" s="688">
        <f t="shared" si="36"/>
        <v>9.7532483892375094E-2</v>
      </c>
      <c r="N65" s="688">
        <f t="shared" si="36"/>
        <v>0.10380458512611992</v>
      </c>
      <c r="O65" s="688">
        <f t="shared" si="36"/>
        <v>0.10199371504043137</v>
      </c>
      <c r="P65" s="688">
        <f t="shared" si="36"/>
        <v>0.10300945940532345</v>
      </c>
      <c r="Q65" s="688">
        <f t="shared" si="36"/>
        <v>0.10558714875176833</v>
      </c>
      <c r="R65" s="688">
        <f t="shared" si="36"/>
        <v>0.10872643803360582</v>
      </c>
      <c r="S65" s="688">
        <f t="shared" si="36"/>
        <v>0.10277071082514518</v>
      </c>
      <c r="T65" s="688">
        <f t="shared" si="33"/>
        <v>0.10178161119054706</v>
      </c>
      <c r="U65" s="688">
        <f t="shared" si="33"/>
        <v>0.11038765116404461</v>
      </c>
      <c r="V65" s="56"/>
    </row>
    <row r="66" spans="1:22">
      <c r="A66" t="s">
        <v>525</v>
      </c>
      <c r="B66" s="686" t="s">
        <v>520</v>
      </c>
      <c r="C66" s="688">
        <f t="shared" si="31"/>
        <v>0.12454767444126047</v>
      </c>
      <c r="D66" s="689">
        <f t="shared" si="31"/>
        <v>0.12558253529107244</v>
      </c>
      <c r="E66" s="689">
        <f t="shared" si="31"/>
        <v>0.12881629541051473</v>
      </c>
      <c r="F66" s="689">
        <f t="shared" si="31"/>
        <v>0.12521907736373075</v>
      </c>
      <c r="G66" s="689">
        <f t="shared" si="31"/>
        <v>0.12099205032531525</v>
      </c>
      <c r="H66" s="688">
        <f t="shared" si="31"/>
        <v>0.12010467573159039</v>
      </c>
      <c r="I66" s="689">
        <f t="shared" si="34"/>
        <v>0.11781391805019124</v>
      </c>
      <c r="J66" s="689">
        <f t="shared" ref="J66:S66" si="37">J33/J$16</f>
        <v>0.11582124134118203</v>
      </c>
      <c r="K66" s="689">
        <f t="shared" si="37"/>
        <v>0.11157002982637648</v>
      </c>
      <c r="L66" s="689">
        <f t="shared" si="37"/>
        <v>0.10929705012849174</v>
      </c>
      <c r="M66" s="688">
        <f t="shared" si="37"/>
        <v>0.11417269384219364</v>
      </c>
      <c r="N66" s="688">
        <f t="shared" si="37"/>
        <v>0.11671167571785573</v>
      </c>
      <c r="O66" s="688">
        <f t="shared" si="37"/>
        <v>0.11788294086470669</v>
      </c>
      <c r="P66" s="688">
        <f t="shared" si="37"/>
        <v>0.11270572986957422</v>
      </c>
      <c r="Q66" s="688">
        <f t="shared" si="37"/>
        <v>0.11415733807665746</v>
      </c>
      <c r="R66" s="688">
        <f t="shared" si="37"/>
        <v>0.11218564054757139</v>
      </c>
      <c r="S66" s="688">
        <f t="shared" si="37"/>
        <v>0.11101513281851025</v>
      </c>
      <c r="T66" s="688">
        <f t="shared" si="33"/>
        <v>0.11254873980508452</v>
      </c>
      <c r="U66" s="688">
        <f t="shared" si="33"/>
        <v>0.10267541661621407</v>
      </c>
      <c r="V66" s="56"/>
    </row>
    <row r="67" spans="1:22">
      <c r="A67" t="s">
        <v>524</v>
      </c>
      <c r="B67" s="686" t="s">
        <v>520</v>
      </c>
      <c r="C67" s="688">
        <f t="shared" si="31"/>
        <v>2.1452025913264582E-2</v>
      </c>
      <c r="D67" s="689">
        <f t="shared" si="31"/>
        <v>2.1936697967495703E-2</v>
      </c>
      <c r="E67" s="689">
        <f t="shared" si="31"/>
        <v>2.1944067132329902E-2</v>
      </c>
      <c r="F67" s="689">
        <f t="shared" si="31"/>
        <v>2.1625698984065422E-2</v>
      </c>
      <c r="G67" s="689">
        <f t="shared" si="31"/>
        <v>2.310751289386527E-2</v>
      </c>
      <c r="H67" s="688">
        <f t="shared" si="31"/>
        <v>2.3081459672454455E-2</v>
      </c>
      <c r="I67" s="689">
        <f t="shared" si="34"/>
        <v>2.6010344783754163E-2</v>
      </c>
      <c r="J67" s="689">
        <f t="shared" ref="J67:S67" si="38">J34/J$16</f>
        <v>2.7284339285204958E-2</v>
      </c>
      <c r="K67" s="689">
        <f t="shared" si="38"/>
        <v>3.1730489213452569E-2</v>
      </c>
      <c r="L67" s="689">
        <f t="shared" si="38"/>
        <v>3.3478697241868506E-2</v>
      </c>
      <c r="M67" s="688">
        <f t="shared" si="38"/>
        <v>3.1954969085871254E-2</v>
      </c>
      <c r="N67" s="688">
        <f t="shared" si="38"/>
        <v>3.2207623702497939E-2</v>
      </c>
      <c r="O67" s="688">
        <f t="shared" si="38"/>
        <v>3.1308040909640976E-2</v>
      </c>
      <c r="P67" s="688">
        <f t="shared" si="38"/>
        <v>3.0992782872625243E-2</v>
      </c>
      <c r="Q67" s="688">
        <f t="shared" si="38"/>
        <v>3.0839579170526404E-2</v>
      </c>
      <c r="R67" s="688">
        <f t="shared" si="38"/>
        <v>3.1162245312066052E-2</v>
      </c>
      <c r="S67" s="688">
        <f t="shared" si="38"/>
        <v>2.9618930356050392E-2</v>
      </c>
      <c r="T67" s="688">
        <f t="shared" si="33"/>
        <v>2.9321731553217167E-2</v>
      </c>
      <c r="U67" s="688">
        <f t="shared" si="33"/>
        <v>2.7589898597696425E-2</v>
      </c>
      <c r="V67" s="56"/>
    </row>
    <row r="68" spans="1:22">
      <c r="A68" t="s">
        <v>523</v>
      </c>
      <c r="B68" s="686" t="s">
        <v>520</v>
      </c>
      <c r="C68" s="688">
        <f t="shared" si="31"/>
        <v>5.5319765108676104E-3</v>
      </c>
      <c r="D68" s="689">
        <f t="shared" si="31"/>
        <v>5.5641014699993364E-3</v>
      </c>
      <c r="E68" s="689">
        <f t="shared" si="31"/>
        <v>5.7174908489172286E-3</v>
      </c>
      <c r="F68" s="689">
        <f t="shared" si="31"/>
        <v>5.5498884311531169E-3</v>
      </c>
      <c r="G68" s="689">
        <f t="shared" si="31"/>
        <v>5.6149246028167387E-3</v>
      </c>
      <c r="H68" s="688">
        <f t="shared" si="31"/>
        <v>5.7688262856092605E-3</v>
      </c>
      <c r="I68" s="689">
        <f t="shared" si="34"/>
        <v>6.0367961422279704E-3</v>
      </c>
      <c r="J68" s="689">
        <f t="shared" ref="J68:S68" si="39">J35/J$16</f>
        <v>6.4522533524862119E-3</v>
      </c>
      <c r="K68" s="689">
        <f t="shared" si="39"/>
        <v>6.7297745051115446E-3</v>
      </c>
      <c r="L68" s="689">
        <f t="shared" si="39"/>
        <v>7.0265139353510768E-3</v>
      </c>
      <c r="M68" s="688">
        <f t="shared" si="39"/>
        <v>6.7150741363493915E-3</v>
      </c>
      <c r="N68" s="688">
        <f t="shared" si="39"/>
        <v>6.5026019989082844E-3</v>
      </c>
      <c r="O68" s="688">
        <f t="shared" si="39"/>
        <v>5.9983117868466348E-3</v>
      </c>
      <c r="P68" s="688">
        <f t="shared" si="39"/>
        <v>5.8837339648386052E-3</v>
      </c>
      <c r="Q68" s="688">
        <f t="shared" si="39"/>
        <v>5.3775878760583999E-3</v>
      </c>
      <c r="R68" s="688">
        <f t="shared" si="39"/>
        <v>5.3148079087825947E-3</v>
      </c>
      <c r="S68" s="688">
        <f t="shared" si="39"/>
        <v>4.9111498729800945E-3</v>
      </c>
      <c r="T68" s="688">
        <f t="shared" si="33"/>
        <v>5.3134273942378862E-3</v>
      </c>
      <c r="U68" s="688">
        <f t="shared" si="33"/>
        <v>4.8631612001737703E-3</v>
      </c>
      <c r="V68" s="56"/>
    </row>
    <row r="69" spans="1:22">
      <c r="A69" t="s">
        <v>522</v>
      </c>
      <c r="B69" s="686" t="s">
        <v>520</v>
      </c>
      <c r="C69" s="688">
        <f t="shared" si="31"/>
        <v>7.8093581452301389E-4</v>
      </c>
      <c r="D69" s="689">
        <f t="shared" si="31"/>
        <v>7.7905966240005963E-4</v>
      </c>
      <c r="E69" s="689">
        <f t="shared" si="31"/>
        <v>7.8728912720650427E-4</v>
      </c>
      <c r="F69" s="689">
        <f t="shared" si="31"/>
        <v>7.6758691763955343E-4</v>
      </c>
      <c r="G69" s="689">
        <f t="shared" si="31"/>
        <v>7.7008634361522526E-4</v>
      </c>
      <c r="H69" s="688">
        <f t="shared" si="31"/>
        <v>7.6705559397633339E-4</v>
      </c>
      <c r="I69" s="689">
        <f t="shared" si="34"/>
        <v>8.1982808764852991E-4</v>
      </c>
      <c r="J69" s="689">
        <f t="shared" ref="J69:S69" si="40">J36/J$16</f>
        <v>8.9578728934200705E-4</v>
      </c>
      <c r="K69" s="689">
        <f t="shared" si="40"/>
        <v>8.687732923907958E-4</v>
      </c>
      <c r="L69" s="689">
        <f t="shared" si="40"/>
        <v>8.7571115785784913E-4</v>
      </c>
      <c r="M69" s="688">
        <f t="shared" si="40"/>
        <v>8.5587873372701135E-4</v>
      </c>
      <c r="N69" s="688">
        <f t="shared" si="40"/>
        <v>7.3158839521181697E-4</v>
      </c>
      <c r="O69" s="688">
        <f t="shared" si="40"/>
        <v>6.5137168798923338E-4</v>
      </c>
      <c r="P69" s="688">
        <f t="shared" si="40"/>
        <v>5.9829796582129286E-4</v>
      </c>
      <c r="Q69" s="688">
        <f t="shared" si="40"/>
        <v>4.4838920835445906E-4</v>
      </c>
      <c r="R69" s="688">
        <f t="shared" si="40"/>
        <v>3.8478279247036994E-4</v>
      </c>
      <c r="S69" s="688">
        <f t="shared" si="40"/>
        <v>3.5784117874184713E-4</v>
      </c>
      <c r="T69" s="688">
        <f t="shared" si="33"/>
        <v>4.9783772266336838E-4</v>
      </c>
      <c r="U69" s="688">
        <f t="shared" si="33"/>
        <v>3.6343939255251427E-4</v>
      </c>
      <c r="V69" s="56"/>
    </row>
    <row r="70" spans="1:22">
      <c r="A70" t="s">
        <v>521</v>
      </c>
      <c r="B70" s="686" t="s">
        <v>520</v>
      </c>
      <c r="C70" s="688">
        <f t="shared" si="31"/>
        <v>1.9966512370715055E-2</v>
      </c>
      <c r="D70" s="689">
        <f t="shared" si="31"/>
        <v>1.7993050369371499E-2</v>
      </c>
      <c r="E70" s="689">
        <f t="shared" si="31"/>
        <v>1.3569406047000042E-2</v>
      </c>
      <c r="F70" s="689">
        <f t="shared" si="31"/>
        <v>1.1169871769658911E-2</v>
      </c>
      <c r="G70" s="689">
        <f t="shared" si="31"/>
        <v>1.0264550350808407E-2</v>
      </c>
      <c r="H70" s="688">
        <f t="shared" si="31"/>
        <v>9.5903360243440126E-3</v>
      </c>
      <c r="I70" s="689">
        <f t="shared" si="34"/>
        <v>6.0457427926603946E-3</v>
      </c>
      <c r="J70" s="689">
        <f t="shared" ref="J70:S70" si="41">J37/J$16</f>
        <v>6.8911202585248341E-3</v>
      </c>
      <c r="K70" s="689">
        <f t="shared" si="41"/>
        <v>5.9267731425119013E-3</v>
      </c>
      <c r="L70" s="689">
        <f t="shared" si="41"/>
        <v>5.4706587402868906E-3</v>
      </c>
      <c r="M70" s="688">
        <f t="shared" si="41"/>
        <v>5.0516687798655485E-3</v>
      </c>
      <c r="N70" s="688">
        <f t="shared" si="41"/>
        <v>4.3596694918893158E-3</v>
      </c>
      <c r="O70" s="688">
        <f t="shared" si="41"/>
        <v>4.0572523061224008E-3</v>
      </c>
      <c r="P70" s="688">
        <f t="shared" si="41"/>
        <v>3.5793961582680765E-3</v>
      </c>
      <c r="Q70" s="688">
        <f t="shared" si="41"/>
        <v>3.2741618375740295E-3</v>
      </c>
      <c r="R70" s="688">
        <f t="shared" si="41"/>
        <v>2.9462761582055449E-3</v>
      </c>
      <c r="S70" s="688">
        <f t="shared" si="41"/>
        <v>2.9669888486402386E-3</v>
      </c>
      <c r="T70" s="688">
        <f t="shared" si="33"/>
        <v>3.2351132454415186E-3</v>
      </c>
      <c r="U70" s="688">
        <f t="shared" si="33"/>
        <v>2.8076447098865005E-3</v>
      </c>
      <c r="V70" s="56"/>
    </row>
    <row r="73" spans="1:22">
      <c r="A73" t="s">
        <v>200</v>
      </c>
    </row>
    <row r="74" spans="1:22">
      <c r="A74" s="68" t="str">
        <f>A14</f>
        <v>Consumo TERNA totale (E.E. e calore)</v>
      </c>
      <c r="B74" s="686" t="s">
        <v>200</v>
      </c>
      <c r="C74" s="687">
        <f t="shared" ref="C74:S74" si="42">C14/41.868</f>
        <v>53462.293437100001</v>
      </c>
      <c r="D74" s="687">
        <f t="shared" si="42"/>
        <v>54917.812180000008</v>
      </c>
      <c r="E74" s="687">
        <f t="shared" si="42"/>
        <v>55068.39365000002</v>
      </c>
      <c r="F74" s="687">
        <f t="shared" si="42"/>
        <v>53501.866540000003</v>
      </c>
      <c r="G74" s="687">
        <f t="shared" si="42"/>
        <v>46755.335189999998</v>
      </c>
      <c r="H74" s="687">
        <f t="shared" si="42"/>
        <v>47762.929818239994</v>
      </c>
      <c r="I74" s="687">
        <f t="shared" si="42"/>
        <v>47670.66595000001</v>
      </c>
      <c r="J74" s="687">
        <f t="shared" si="42"/>
        <v>45665.760760000005</v>
      </c>
      <c r="K74" s="687">
        <f t="shared" si="42"/>
        <v>41098.64028</v>
      </c>
      <c r="L74" s="687">
        <f t="shared" si="42"/>
        <v>38300.488140000001</v>
      </c>
      <c r="M74" s="687">
        <f t="shared" si="42"/>
        <v>40343.115442426191</v>
      </c>
      <c r="N74" s="687">
        <f t="shared" si="42"/>
        <v>40886.221686443103</v>
      </c>
      <c r="O74" s="687">
        <f t="shared" si="42"/>
        <v>42043.682158904179</v>
      </c>
      <c r="P74" s="687">
        <f t="shared" si="42"/>
        <v>39108.314983041942</v>
      </c>
      <c r="Q74" s="687">
        <f t="shared" si="42"/>
        <v>39096.485204528522</v>
      </c>
      <c r="R74" s="687">
        <f t="shared" si="42"/>
        <v>36458.897773000863</v>
      </c>
      <c r="S74" s="687">
        <f t="shared" si="42"/>
        <v>37644.945242189744</v>
      </c>
      <c r="T74" s="687">
        <f>T14/41.868</f>
        <v>39315.659285373069</v>
      </c>
      <c r="U74" s="687">
        <f>U14/41.868</f>
        <v>32239.752713528229</v>
      </c>
    </row>
    <row r="75" spans="1:22">
      <c r="A75" s="68" t="str">
        <f>A13</f>
        <v>Consumo TERNA per produzione termoelettrica</v>
      </c>
      <c r="B75" s="686" t="s">
        <v>200</v>
      </c>
      <c r="C75" s="687">
        <f t="shared" ref="C75:S75" si="43">C13/41.868</f>
        <v>48339.396207400001</v>
      </c>
      <c r="D75" s="687">
        <f t="shared" si="43"/>
        <v>49334.336650000005</v>
      </c>
      <c r="E75" s="687">
        <f t="shared" si="43"/>
        <v>49619.031570000006</v>
      </c>
      <c r="F75" s="687">
        <f t="shared" si="43"/>
        <v>48198.314030000009</v>
      </c>
      <c r="G75" s="687">
        <f t="shared" si="43"/>
        <v>41814.843969999994</v>
      </c>
      <c r="H75" s="687">
        <f t="shared" si="43"/>
        <v>42341.899451039993</v>
      </c>
      <c r="I75" s="687">
        <f t="shared" si="43"/>
        <v>41827.86179000001</v>
      </c>
      <c r="J75" s="687">
        <f t="shared" si="43"/>
        <v>40298.63708</v>
      </c>
      <c r="K75" s="687">
        <f t="shared" si="43"/>
        <v>35297.152603999995</v>
      </c>
      <c r="L75" s="687">
        <f t="shared" si="43"/>
        <v>32862.67</v>
      </c>
      <c r="M75" s="687">
        <f t="shared" si="43"/>
        <v>34577.495792568305</v>
      </c>
      <c r="N75" s="687">
        <f t="shared" si="43"/>
        <v>34977.59336481322</v>
      </c>
      <c r="O75" s="687">
        <f t="shared" si="43"/>
        <v>36137.601158419318</v>
      </c>
      <c r="P75" s="687">
        <f t="shared" si="43"/>
        <v>33340.623674823255</v>
      </c>
      <c r="Q75" s="687">
        <f t="shared" si="43"/>
        <v>33270.473370535976</v>
      </c>
      <c r="R75" s="687">
        <f t="shared" si="43"/>
        <v>30726.972902933023</v>
      </c>
      <c r="S75" s="687">
        <f t="shared" si="43"/>
        <v>32092.687219117226</v>
      </c>
      <c r="T75" s="687">
        <f>T13/41.868</f>
        <v>33835.631393904645</v>
      </c>
      <c r="U75" s="687">
        <f>U13/41.868</f>
        <v>27294.339397391803</v>
      </c>
    </row>
    <row r="76" spans="1:22">
      <c r="A76" s="68" t="str">
        <f>A17</f>
        <v>Consumo per la produzione di calore</v>
      </c>
      <c r="B76" s="686" t="s">
        <v>200</v>
      </c>
      <c r="C76" s="684">
        <f t="shared" ref="C76:S76" si="44">C17/41.868</f>
        <v>5122.8972297000037</v>
      </c>
      <c r="D76" s="684">
        <f t="shared" si="44"/>
        <v>5583.4755300000061</v>
      </c>
      <c r="E76" s="684">
        <f t="shared" si="44"/>
        <v>5449.3620800000108</v>
      </c>
      <c r="F76" s="684">
        <f t="shared" si="44"/>
        <v>5303.552509999995</v>
      </c>
      <c r="G76" s="684">
        <f t="shared" si="44"/>
        <v>4940.4912200000053</v>
      </c>
      <c r="H76" s="684">
        <f t="shared" si="44"/>
        <v>5421.0303672000055</v>
      </c>
      <c r="I76" s="684">
        <f t="shared" si="44"/>
        <v>5842.8041599999997</v>
      </c>
      <c r="J76" s="684">
        <f t="shared" si="44"/>
        <v>5367.1236800000088</v>
      </c>
      <c r="K76" s="684">
        <f t="shared" si="44"/>
        <v>5801.4876760000052</v>
      </c>
      <c r="L76" s="684">
        <f t="shared" si="44"/>
        <v>5437.8181400000003</v>
      </c>
      <c r="M76" s="684">
        <f t="shared" si="44"/>
        <v>5765.6196498578893</v>
      </c>
      <c r="N76" s="684">
        <f t="shared" si="44"/>
        <v>5908.6283216298807</v>
      </c>
      <c r="O76" s="684">
        <f t="shared" si="44"/>
        <v>5906.0810004848609</v>
      </c>
      <c r="P76" s="684">
        <f t="shared" si="44"/>
        <v>5767.6913082186884</v>
      </c>
      <c r="Q76" s="684">
        <f t="shared" si="44"/>
        <v>5826.011833992543</v>
      </c>
      <c r="R76" s="684">
        <f t="shared" si="44"/>
        <v>5731.9248700678372</v>
      </c>
      <c r="S76" s="684">
        <f t="shared" si="44"/>
        <v>5552.2580230725198</v>
      </c>
      <c r="T76" s="684">
        <f>T17/41.868</f>
        <v>5480.0278914684241</v>
      </c>
      <c r="U76" s="684">
        <f>U17/41.868</f>
        <v>4945.4133161364261</v>
      </c>
    </row>
    <row r="78" spans="1:22">
      <c r="A78" s="68"/>
      <c r="B78" s="686"/>
      <c r="C78" s="685"/>
      <c r="D78" s="685"/>
      <c r="E78" s="685"/>
      <c r="F78" s="685"/>
      <c r="G78" s="685"/>
      <c r="H78" s="685"/>
      <c r="I78" s="685"/>
      <c r="J78" s="685"/>
      <c r="K78" s="685"/>
      <c r="L78" s="685"/>
      <c r="M78" s="685"/>
      <c r="N78" s="685"/>
      <c r="O78" s="685"/>
      <c r="P78" s="685"/>
      <c r="Q78" s="685"/>
      <c r="R78" s="685"/>
      <c r="S78" s="685"/>
      <c r="T78" s="685"/>
      <c r="U78" s="685"/>
    </row>
    <row r="79" spans="1:22">
      <c r="H79" s="684"/>
      <c r="I79" s="684"/>
      <c r="J79" s="684"/>
      <c r="K79" s="684"/>
      <c r="L79" s="684"/>
      <c r="M79" s="684"/>
      <c r="N79" s="684"/>
    </row>
    <row r="80" spans="1:22">
      <c r="H80" s="684"/>
      <c r="I80" s="684"/>
      <c r="J80" s="684"/>
      <c r="K80" s="684"/>
      <c r="L80" s="684"/>
      <c r="M80" s="684"/>
      <c r="N80" s="684"/>
    </row>
    <row r="81" spans="8:14">
      <c r="H81" s="684"/>
      <c r="I81" s="684"/>
      <c r="J81" s="684"/>
      <c r="K81" s="684"/>
      <c r="L81" s="684"/>
      <c r="M81" s="684"/>
      <c r="N81" s="68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dimension ref="A1:AJ37"/>
  <sheetViews>
    <sheetView showGridLines="0" zoomScaleNormal="100" workbookViewId="0">
      <selection activeCell="O30" sqref="O30"/>
    </sheetView>
  </sheetViews>
  <sheetFormatPr defaultColWidth="9.21875" defaultRowHeight="15.6"/>
  <cols>
    <col min="1" max="1" width="30.21875" style="2" customWidth="1"/>
    <col min="2" max="2" width="8.21875" style="2" bestFit="1" customWidth="1"/>
    <col min="3" max="6" width="8.21875" style="2" hidden="1" customWidth="1"/>
    <col min="7" max="7" width="8.21875" style="2" bestFit="1" customWidth="1"/>
    <col min="8" max="11" width="8.21875" style="2" hidden="1" customWidth="1"/>
    <col min="12" max="12" width="8.21875" style="2" bestFit="1" customWidth="1"/>
    <col min="13" max="16" width="0.21875" style="2" customWidth="1"/>
    <col min="17" max="17" width="8.21875" style="2" bestFit="1" customWidth="1"/>
    <col min="18" max="21" width="0.21875" style="2" customWidth="1"/>
    <col min="22" max="22" width="8.21875" style="2" bestFit="1" customWidth="1"/>
    <col min="23" max="26" width="0.109375" style="2" customWidth="1"/>
    <col min="27" max="36" width="8.21875" style="2" bestFit="1" customWidth="1"/>
    <col min="37" max="16384" width="9.21875" style="2"/>
  </cols>
  <sheetData>
    <row r="1" spans="1:36">
      <c r="A1" s="608" t="s">
        <v>57</v>
      </c>
      <c r="B1" s="608"/>
    </row>
    <row r="3" spans="1:36">
      <c r="A3" s="1" t="s">
        <v>617</v>
      </c>
    </row>
    <row r="4" spans="1:36" ht="16.2">
      <c r="A4" s="862" t="s">
        <v>0</v>
      </c>
      <c r="B4" s="135">
        <v>1990</v>
      </c>
      <c r="C4" s="136">
        <v>1991</v>
      </c>
      <c r="D4" s="136">
        <v>1992</v>
      </c>
      <c r="E4" s="135">
        <v>1993</v>
      </c>
      <c r="F4" s="135">
        <v>1994</v>
      </c>
      <c r="G4" s="135">
        <v>1995</v>
      </c>
      <c r="H4" s="135">
        <v>1996</v>
      </c>
      <c r="I4" s="135">
        <v>1997</v>
      </c>
      <c r="J4" s="135">
        <v>1998</v>
      </c>
      <c r="K4" s="135">
        <v>1999</v>
      </c>
      <c r="L4" s="135">
        <v>2000</v>
      </c>
      <c r="M4" s="135">
        <v>2001</v>
      </c>
      <c r="N4" s="135">
        <v>2002</v>
      </c>
      <c r="O4" s="135">
        <v>2003</v>
      </c>
      <c r="P4" s="135">
        <v>2004</v>
      </c>
      <c r="Q4" s="135">
        <v>2005</v>
      </c>
      <c r="R4" s="135">
        <v>2006</v>
      </c>
      <c r="S4" s="135">
        <v>2007</v>
      </c>
      <c r="T4" s="135">
        <v>2008</v>
      </c>
      <c r="U4" s="135">
        <v>2009</v>
      </c>
      <c r="V4" s="135">
        <v>2010</v>
      </c>
      <c r="W4" s="135">
        <v>2011</v>
      </c>
      <c r="X4" s="135">
        <v>2012</v>
      </c>
      <c r="Y4" s="135">
        <v>2013</v>
      </c>
      <c r="Z4" s="135">
        <v>2014</v>
      </c>
      <c r="AA4" s="135">
        <v>2015</v>
      </c>
      <c r="AB4" s="287">
        <v>2016</v>
      </c>
      <c r="AC4" s="287">
        <v>2017</v>
      </c>
      <c r="AD4" s="287">
        <v>2018</v>
      </c>
      <c r="AE4" s="287">
        <v>2019</v>
      </c>
      <c r="AF4" s="287">
        <v>2020</v>
      </c>
      <c r="AG4" s="287">
        <v>2021</v>
      </c>
      <c r="AH4" s="287">
        <v>2022</v>
      </c>
      <c r="AI4" s="287">
        <v>2023</v>
      </c>
      <c r="AJ4" s="804" t="s">
        <v>597</v>
      </c>
    </row>
    <row r="5" spans="1:36">
      <c r="A5" s="863"/>
      <c r="B5" s="63" t="s">
        <v>129</v>
      </c>
      <c r="C5" s="64"/>
      <c r="D5" s="64"/>
      <c r="E5" s="64"/>
      <c r="F5" s="64"/>
      <c r="G5" s="64"/>
      <c r="H5" s="64"/>
      <c r="I5" s="64"/>
      <c r="J5" s="64"/>
      <c r="K5" s="64"/>
      <c r="L5" s="64"/>
      <c r="M5" s="64"/>
      <c r="N5" s="64"/>
      <c r="O5" s="64"/>
      <c r="P5" s="64"/>
      <c r="Q5" s="64"/>
      <c r="R5" s="64"/>
      <c r="S5" s="64"/>
      <c r="T5" s="64"/>
      <c r="U5" s="64"/>
      <c r="V5" s="64"/>
      <c r="W5" s="64"/>
      <c r="X5" s="64"/>
      <c r="Y5" s="64"/>
      <c r="Z5" s="64"/>
      <c r="AA5" s="64"/>
      <c r="AB5" s="290"/>
      <c r="AC5" s="290"/>
      <c r="AD5" s="290"/>
      <c r="AE5" s="290"/>
      <c r="AF5" s="290"/>
      <c r="AG5" s="290"/>
      <c r="AH5" s="290"/>
      <c r="AI5" s="290"/>
      <c r="AJ5" s="290"/>
    </row>
    <row r="6" spans="1:36">
      <c r="A6" s="5" t="s">
        <v>5</v>
      </c>
      <c r="B6" s="176">
        <v>32.046999999999997</v>
      </c>
      <c r="C6" s="176">
        <v>28.507000000000001</v>
      </c>
      <c r="D6" s="176">
        <v>21.353999999999999</v>
      </c>
      <c r="E6" s="176">
        <v>16.658999999999999</v>
      </c>
      <c r="F6" s="176">
        <v>19.856000000000002</v>
      </c>
      <c r="G6" s="176">
        <v>24.122</v>
      </c>
      <c r="H6" s="176">
        <v>22.08</v>
      </c>
      <c r="I6" s="176">
        <v>20.518000000000001</v>
      </c>
      <c r="J6" s="176">
        <v>23.311</v>
      </c>
      <c r="K6" s="176">
        <v>23.812000000000001</v>
      </c>
      <c r="L6" s="176">
        <v>26.271999999999998</v>
      </c>
      <c r="M6" s="176">
        <v>31.73</v>
      </c>
      <c r="N6" s="176">
        <v>35.447000000000003</v>
      </c>
      <c r="O6" s="176">
        <v>38.813000000000002</v>
      </c>
      <c r="P6" s="176">
        <v>45.518000000000001</v>
      </c>
      <c r="Q6" s="176">
        <v>43.606300000000005</v>
      </c>
      <c r="R6" s="176">
        <v>44.2074</v>
      </c>
      <c r="S6" s="176">
        <v>44.112200000000001</v>
      </c>
      <c r="T6" s="176">
        <v>43.073800000000006</v>
      </c>
      <c r="U6" s="176">
        <v>39.745200000000004</v>
      </c>
      <c r="V6" s="176">
        <v>39.734000000000009</v>
      </c>
      <c r="W6" s="176">
        <v>44.725999999999999</v>
      </c>
      <c r="X6" s="176">
        <v>49.141400000000004</v>
      </c>
      <c r="Y6" s="176">
        <v>45.104399999999998</v>
      </c>
      <c r="Z6" s="176">
        <v>43.454700000000003</v>
      </c>
      <c r="AA6" s="176">
        <v>43.201300000000003</v>
      </c>
      <c r="AB6" s="288">
        <v>35.607699999999994</v>
      </c>
      <c r="AC6" s="288">
        <v>32.627426142120001</v>
      </c>
      <c r="AD6" s="288">
        <v>28.4698677001</v>
      </c>
      <c r="AE6" s="288">
        <v>18.839448967460001</v>
      </c>
      <c r="AF6" s="288">
        <v>13.379486891380001</v>
      </c>
      <c r="AG6" s="288">
        <v>14.02191874551</v>
      </c>
      <c r="AH6" s="288">
        <v>22.606652264280001</v>
      </c>
      <c r="AI6" s="288">
        <v>13.2198851156488</v>
      </c>
      <c r="AJ6" s="728">
        <v>3.8293995209383009</v>
      </c>
    </row>
    <row r="7" spans="1:36">
      <c r="A7" s="5" t="s">
        <v>6</v>
      </c>
      <c r="B7" s="176">
        <v>39.709000000000003</v>
      </c>
      <c r="C7" s="176">
        <v>36.341999999999999</v>
      </c>
      <c r="D7" s="176">
        <v>35.475999999999999</v>
      </c>
      <c r="E7" s="176">
        <v>39.963000000000001</v>
      </c>
      <c r="F7" s="176">
        <v>40.804000000000002</v>
      </c>
      <c r="G7" s="176">
        <v>46.997999999999998</v>
      </c>
      <c r="H7" s="176">
        <v>50.191000000000003</v>
      </c>
      <c r="I7" s="176">
        <v>61.292999999999999</v>
      </c>
      <c r="J7" s="176">
        <v>70.882999999999996</v>
      </c>
      <c r="K7" s="176">
        <v>86.983000000000004</v>
      </c>
      <c r="L7" s="176">
        <v>101.36</v>
      </c>
      <c r="M7" s="176">
        <v>104.1875</v>
      </c>
      <c r="N7" s="176">
        <v>99.413800000000009</v>
      </c>
      <c r="O7" s="176">
        <v>117.301</v>
      </c>
      <c r="P7" s="176">
        <v>129.77209999999999</v>
      </c>
      <c r="Q7" s="176">
        <v>149.2586</v>
      </c>
      <c r="R7" s="176">
        <v>158.0788</v>
      </c>
      <c r="S7" s="176">
        <v>172.64589999999998</v>
      </c>
      <c r="T7" s="176">
        <v>172.69720000000001</v>
      </c>
      <c r="U7" s="176">
        <v>147.27010000000001</v>
      </c>
      <c r="V7" s="176">
        <v>152.73689999999999</v>
      </c>
      <c r="W7" s="176">
        <v>144.548</v>
      </c>
      <c r="X7" s="176">
        <v>129.0581</v>
      </c>
      <c r="Y7" s="176">
        <v>108.87560000000001</v>
      </c>
      <c r="Z7" s="176">
        <v>93.637299999999996</v>
      </c>
      <c r="AA7" s="176">
        <v>110.8601</v>
      </c>
      <c r="AB7" s="288">
        <v>126.1481</v>
      </c>
      <c r="AC7" s="288">
        <v>140.33288427196001</v>
      </c>
      <c r="AD7" s="288">
        <v>128.48755475789</v>
      </c>
      <c r="AE7" s="288">
        <v>141.68700212828</v>
      </c>
      <c r="AF7" s="288">
        <v>133.68278357062999</v>
      </c>
      <c r="AG7" s="288">
        <v>143.99795016602999</v>
      </c>
      <c r="AH7" s="288">
        <v>141.44531220990001</v>
      </c>
      <c r="AI7" s="288">
        <v>118.986516222533</v>
      </c>
      <c r="AJ7" s="728">
        <v>122.62472029332807</v>
      </c>
    </row>
    <row r="8" spans="1:36">
      <c r="A8" s="5" t="s">
        <v>7</v>
      </c>
      <c r="B8" s="176">
        <v>3.7149999999999999</v>
      </c>
      <c r="C8" s="176">
        <v>3.6659999999999999</v>
      </c>
      <c r="D8" s="176">
        <v>3.6509999999999998</v>
      </c>
      <c r="E8" s="176">
        <v>3.536</v>
      </c>
      <c r="F8" s="176">
        <v>3.0880000000000001</v>
      </c>
      <c r="G8" s="176">
        <v>3.4460000000000002</v>
      </c>
      <c r="H8" s="176">
        <v>3.2429999999999999</v>
      </c>
      <c r="I8" s="176">
        <v>4.2510000000000003</v>
      </c>
      <c r="J8" s="176">
        <v>4.516</v>
      </c>
      <c r="K8" s="176">
        <v>4.4130000000000003</v>
      </c>
      <c r="L8" s="176">
        <v>4.2519999999999998</v>
      </c>
      <c r="M8" s="176">
        <v>5.0449999999999999</v>
      </c>
      <c r="N8" s="176">
        <v>5.0209999999999999</v>
      </c>
      <c r="O8" s="176">
        <v>5.3040000000000003</v>
      </c>
      <c r="P8" s="176">
        <v>5.359</v>
      </c>
      <c r="Q8" s="176">
        <v>5.8132000000000001</v>
      </c>
      <c r="R8" s="176">
        <v>6.2291000000000007</v>
      </c>
      <c r="S8" s="176">
        <v>5.6231</v>
      </c>
      <c r="T8" s="176">
        <v>5.5167000000000002</v>
      </c>
      <c r="U8" s="176">
        <v>3.6706999999999996</v>
      </c>
      <c r="V8" s="176">
        <v>4.6993999999999998</v>
      </c>
      <c r="W8" s="176">
        <v>5.4133999999999993</v>
      </c>
      <c r="X8" s="176">
        <v>4.9697999999999993</v>
      </c>
      <c r="Y8" s="176">
        <v>3.39</v>
      </c>
      <c r="Z8" s="176">
        <v>3.0696000000000003</v>
      </c>
      <c r="AA8" s="176">
        <v>2.1873</v>
      </c>
      <c r="AB8" s="288">
        <v>2.7968000000000002</v>
      </c>
      <c r="AC8" s="288">
        <v>2.4687542050499998</v>
      </c>
      <c r="AD8" s="288">
        <v>2.4857946653799998</v>
      </c>
      <c r="AE8" s="288">
        <v>2.4133499243599998</v>
      </c>
      <c r="AF8" s="288">
        <v>1.6634841760800001</v>
      </c>
      <c r="AG8" s="288">
        <v>1.91408728844</v>
      </c>
      <c r="AH8" s="288">
        <v>1.58938302915</v>
      </c>
      <c r="AI8" s="288">
        <v>1.1565384328231649</v>
      </c>
      <c r="AJ8" s="728">
        <v>1.0987225014559785</v>
      </c>
    </row>
    <row r="9" spans="1:36">
      <c r="A9" s="5" t="s">
        <v>8</v>
      </c>
      <c r="B9" s="176">
        <v>102.71899999999999</v>
      </c>
      <c r="C9" s="176">
        <v>104.28700000000001</v>
      </c>
      <c r="D9" s="176">
        <v>116.02</v>
      </c>
      <c r="E9" s="176">
        <v>113.919</v>
      </c>
      <c r="F9" s="176">
        <v>116.312</v>
      </c>
      <c r="G9" s="176">
        <v>120.8</v>
      </c>
      <c r="H9" s="176">
        <v>117.08799999999999</v>
      </c>
      <c r="I9" s="176">
        <v>113.312</v>
      </c>
      <c r="J9" s="176">
        <v>107.30500000000001</v>
      </c>
      <c r="K9" s="176">
        <v>91.379000000000005</v>
      </c>
      <c r="L9" s="176">
        <v>85.878</v>
      </c>
      <c r="M9" s="176">
        <v>75.008200000000016</v>
      </c>
      <c r="N9" s="176">
        <v>87.765600000000006</v>
      </c>
      <c r="O9" s="176">
        <v>75.986000000000004</v>
      </c>
      <c r="P9" s="176">
        <v>58.891100000000002</v>
      </c>
      <c r="Q9" s="176">
        <v>47.1233</v>
      </c>
      <c r="R9" s="176">
        <v>45.877499999999998</v>
      </c>
      <c r="S9" s="176">
        <v>35.408199999999994</v>
      </c>
      <c r="T9" s="176">
        <v>31.458600000000001</v>
      </c>
      <c r="U9" s="176">
        <v>26.020799999999998</v>
      </c>
      <c r="V9" s="176">
        <v>21.715699999999998</v>
      </c>
      <c r="W9" s="176">
        <v>19.885099999999998</v>
      </c>
      <c r="X9" s="176">
        <v>18.888600000000004</v>
      </c>
      <c r="Y9" s="176">
        <v>15.481699999999996</v>
      </c>
      <c r="Z9" s="176">
        <v>14.164200000000001</v>
      </c>
      <c r="AA9" s="176">
        <v>13.385800000000001</v>
      </c>
      <c r="AB9" s="288">
        <v>12.129700000000001</v>
      </c>
      <c r="AC9" s="288">
        <v>11.526694451159997</v>
      </c>
      <c r="AD9" s="288">
        <v>11.02912954766</v>
      </c>
      <c r="AE9" s="288">
        <v>10.15311537819</v>
      </c>
      <c r="AF9" s="288">
        <v>10.043258547610002</v>
      </c>
      <c r="AG9" s="288">
        <v>7.7480854822399996</v>
      </c>
      <c r="AH9" s="288">
        <v>12.861937289709998</v>
      </c>
      <c r="AI9" s="288">
        <v>10.191484636876364</v>
      </c>
      <c r="AJ9" s="728">
        <v>7.507487149771233</v>
      </c>
    </row>
    <row r="10" spans="1:36">
      <c r="A10" s="5" t="s">
        <v>9</v>
      </c>
      <c r="B10" s="176">
        <v>0.10299999999999999</v>
      </c>
      <c r="C10" s="176">
        <v>0.218</v>
      </c>
      <c r="D10" s="176">
        <v>0.184</v>
      </c>
      <c r="E10" s="176">
        <v>0.20799999999999999</v>
      </c>
      <c r="F10" s="176">
        <v>0.28299999999999997</v>
      </c>
      <c r="G10" s="176">
        <v>0.38900000000000001</v>
      </c>
      <c r="H10" s="176">
        <v>0.60499999999999998</v>
      </c>
      <c r="I10" s="176">
        <v>0.82199999999999995</v>
      </c>
      <c r="J10" s="176">
        <v>1.232</v>
      </c>
      <c r="K10" s="176">
        <v>1.823</v>
      </c>
      <c r="L10" s="176">
        <v>1.9079999999999999</v>
      </c>
      <c r="M10" s="176">
        <v>2.5873000000000004</v>
      </c>
      <c r="N10" s="176">
        <v>3.5105999999999997</v>
      </c>
      <c r="O10" s="176">
        <v>4.4930000000000003</v>
      </c>
      <c r="P10" s="176">
        <v>5.6373999999999995</v>
      </c>
      <c r="Q10" s="176">
        <v>6.1548999999999996</v>
      </c>
      <c r="R10" s="176">
        <v>6.7446000000000002</v>
      </c>
      <c r="S10" s="176">
        <v>6.9537000000000004</v>
      </c>
      <c r="T10" s="176">
        <v>7.6657000000000002</v>
      </c>
      <c r="U10" s="176">
        <v>9.3291000000000004</v>
      </c>
      <c r="V10" s="176">
        <v>11.5848</v>
      </c>
      <c r="W10" s="176">
        <v>13.136900000000001</v>
      </c>
      <c r="X10" s="176">
        <v>14.752900000000002</v>
      </c>
      <c r="Y10" s="176">
        <v>19.382999999999999</v>
      </c>
      <c r="Z10" s="176">
        <v>21.184000000000005</v>
      </c>
      <c r="AA10" s="176">
        <v>21.823699999999999</v>
      </c>
      <c r="AB10" s="288">
        <v>22.011700000000001</v>
      </c>
      <c r="AC10" s="288">
        <v>21.867740929710013</v>
      </c>
      <c r="AD10" s="288">
        <v>21.656477513290003</v>
      </c>
      <c r="AE10" s="288">
        <v>21.991113588080001</v>
      </c>
      <c r="AF10" s="288">
        <v>22.036088195649999</v>
      </c>
      <c r="AG10" s="288">
        <v>21.450214678099996</v>
      </c>
      <c r="AH10" s="288">
        <v>20.011855936789999</v>
      </c>
      <c r="AI10" s="288">
        <v>18.419883550723426</v>
      </c>
      <c r="AJ10" s="728">
        <v>16.898714058391306</v>
      </c>
    </row>
    <row r="11" spans="1:36">
      <c r="A11" s="818" t="s">
        <v>416</v>
      </c>
      <c r="B11" s="567">
        <v>0</v>
      </c>
      <c r="C11" s="567">
        <v>0</v>
      </c>
      <c r="D11" s="567">
        <v>0</v>
      </c>
      <c r="E11" s="567">
        <v>0</v>
      </c>
      <c r="F11" s="567">
        <v>0</v>
      </c>
      <c r="G11" s="567">
        <v>0</v>
      </c>
      <c r="H11" s="567">
        <v>0</v>
      </c>
      <c r="I11" s="567">
        <v>0</v>
      </c>
      <c r="J11" s="567">
        <v>0</v>
      </c>
      <c r="K11" s="567">
        <v>0</v>
      </c>
      <c r="L11" s="567">
        <v>0</v>
      </c>
      <c r="M11" s="567">
        <v>0</v>
      </c>
      <c r="N11" s="567">
        <v>0</v>
      </c>
      <c r="O11" s="567">
        <v>0</v>
      </c>
      <c r="P11" s="567">
        <v>0</v>
      </c>
      <c r="Q11" s="567">
        <v>0</v>
      </c>
      <c r="R11" s="567">
        <v>0</v>
      </c>
      <c r="S11" s="567">
        <v>0</v>
      </c>
      <c r="T11" s="567">
        <v>0</v>
      </c>
      <c r="U11" s="567">
        <v>0</v>
      </c>
      <c r="V11" s="567">
        <v>0</v>
      </c>
      <c r="W11" s="567">
        <v>0</v>
      </c>
      <c r="X11" s="567">
        <v>0</v>
      </c>
      <c r="Y11" s="567">
        <v>0</v>
      </c>
      <c r="Z11" s="567">
        <v>0</v>
      </c>
      <c r="AA11" s="567">
        <v>0</v>
      </c>
      <c r="AB11" s="567">
        <v>0</v>
      </c>
      <c r="AC11" s="568">
        <v>1.6399999999999998E-2</v>
      </c>
      <c r="AD11" s="568">
        <v>0.05</v>
      </c>
      <c r="AE11" s="567">
        <v>0</v>
      </c>
      <c r="AF11" s="567">
        <v>0</v>
      </c>
      <c r="AG11" s="567">
        <v>0</v>
      </c>
      <c r="AH11" s="567">
        <v>0</v>
      </c>
      <c r="AI11" s="567">
        <v>0</v>
      </c>
      <c r="AJ11" s="729">
        <v>0</v>
      </c>
    </row>
    <row r="12" spans="1:36" ht="16.2">
      <c r="A12" s="6" t="s">
        <v>4</v>
      </c>
      <c r="B12" s="134">
        <f>SUM(B6:B10)</f>
        <v>178.29300000000001</v>
      </c>
      <c r="C12" s="134">
        <f t="shared" ref="C12:W12" si="0">SUM(C6:C10)</f>
        <v>173.02</v>
      </c>
      <c r="D12" s="134">
        <f t="shared" si="0"/>
        <v>176.68499999999997</v>
      </c>
      <c r="E12" s="134">
        <f t="shared" si="0"/>
        <v>174.285</v>
      </c>
      <c r="F12" s="134">
        <f t="shared" si="0"/>
        <v>180.34299999999999</v>
      </c>
      <c r="G12" s="134">
        <f t="shared" si="0"/>
        <v>195.755</v>
      </c>
      <c r="H12" s="134">
        <f t="shared" si="0"/>
        <v>193.20699999999997</v>
      </c>
      <c r="I12" s="134">
        <f t="shared" si="0"/>
        <v>200.19600000000003</v>
      </c>
      <c r="J12" s="134">
        <f t="shared" si="0"/>
        <v>207.24699999999999</v>
      </c>
      <c r="K12" s="134">
        <f t="shared" si="0"/>
        <v>208.41</v>
      </c>
      <c r="L12" s="134">
        <f>SUM(L6:L10)</f>
        <v>219.67</v>
      </c>
      <c r="M12" s="134">
        <f t="shared" si="0"/>
        <v>218.55799999999999</v>
      </c>
      <c r="N12" s="134">
        <f t="shared" si="0"/>
        <v>231.15800000000002</v>
      </c>
      <c r="O12" s="134">
        <f t="shared" si="0"/>
        <v>241.89699999999999</v>
      </c>
      <c r="P12" s="134">
        <f t="shared" si="0"/>
        <v>245.17759999999998</v>
      </c>
      <c r="Q12" s="134">
        <f t="shared" si="0"/>
        <v>251.9563</v>
      </c>
      <c r="R12" s="134">
        <f t="shared" si="0"/>
        <v>261.13740000000001</v>
      </c>
      <c r="S12" s="134">
        <f t="shared" si="0"/>
        <v>264.74310000000003</v>
      </c>
      <c r="T12" s="134">
        <f t="shared" si="0"/>
        <v>260.41200000000003</v>
      </c>
      <c r="U12" s="134">
        <f t="shared" si="0"/>
        <v>226.03590000000005</v>
      </c>
      <c r="V12" s="134">
        <f t="shared" si="0"/>
        <v>230.4708</v>
      </c>
      <c r="W12" s="134">
        <f t="shared" si="0"/>
        <v>227.70939999999999</v>
      </c>
      <c r="X12" s="134">
        <f t="shared" ref="X12:AE12" si="1">SUM(X6:X10)</f>
        <v>216.8108</v>
      </c>
      <c r="Y12" s="134">
        <f t="shared" si="1"/>
        <v>192.2347</v>
      </c>
      <c r="Z12" s="134">
        <f t="shared" si="1"/>
        <v>175.50979999999998</v>
      </c>
      <c r="AA12" s="134">
        <f t="shared" si="1"/>
        <v>191.45819999999998</v>
      </c>
      <c r="AB12" s="289">
        <f t="shared" si="1"/>
        <v>198.69399999999999</v>
      </c>
      <c r="AC12" s="289">
        <f t="shared" si="1"/>
        <v>208.82350000000002</v>
      </c>
      <c r="AD12" s="289">
        <f t="shared" si="1"/>
        <v>192.12882418432002</v>
      </c>
      <c r="AE12" s="289">
        <f t="shared" si="1"/>
        <v>195.08402998637001</v>
      </c>
      <c r="AF12" s="289">
        <f>SUM(AF6:AF10)</f>
        <v>180.80510138135</v>
      </c>
      <c r="AG12" s="289">
        <f>SUM(AG6:AG10)</f>
        <v>189.13225636031996</v>
      </c>
      <c r="AH12" s="289">
        <f>SUM(AH6:AH10)</f>
        <v>198.51514072983002</v>
      </c>
      <c r="AI12" s="289">
        <f>SUM(AI6:AI10)</f>
        <v>161.97430795860475</v>
      </c>
      <c r="AJ12" s="178">
        <f>SUM(AJ6:AJ10)</f>
        <v>151.95904352388487</v>
      </c>
    </row>
    <row r="15" spans="1:36" ht="16.2">
      <c r="A15" s="783" t="s">
        <v>602</v>
      </c>
      <c r="AF15" s="550"/>
    </row>
    <row r="16" spans="1:36">
      <c r="A16" s="781" t="str">
        <f t="shared" ref="A16:AJ16" si="2">A6</f>
        <v>Solidi</v>
      </c>
      <c r="B16" s="787">
        <f t="shared" si="2"/>
        <v>32.046999999999997</v>
      </c>
      <c r="C16" s="787">
        <f t="shared" si="2"/>
        <v>28.507000000000001</v>
      </c>
      <c r="D16" s="787">
        <f t="shared" si="2"/>
        <v>21.353999999999999</v>
      </c>
      <c r="E16" s="787">
        <f t="shared" si="2"/>
        <v>16.658999999999999</v>
      </c>
      <c r="F16" s="787">
        <f t="shared" si="2"/>
        <v>19.856000000000002</v>
      </c>
      <c r="G16" s="787">
        <f t="shared" si="2"/>
        <v>24.122</v>
      </c>
      <c r="H16" s="787">
        <f t="shared" si="2"/>
        <v>22.08</v>
      </c>
      <c r="I16" s="787">
        <f t="shared" si="2"/>
        <v>20.518000000000001</v>
      </c>
      <c r="J16" s="787">
        <f t="shared" si="2"/>
        <v>23.311</v>
      </c>
      <c r="K16" s="787">
        <f t="shared" si="2"/>
        <v>23.812000000000001</v>
      </c>
      <c r="L16" s="787">
        <f t="shared" si="2"/>
        <v>26.271999999999998</v>
      </c>
      <c r="M16" s="787">
        <f t="shared" si="2"/>
        <v>31.73</v>
      </c>
      <c r="N16" s="787">
        <f t="shared" si="2"/>
        <v>35.447000000000003</v>
      </c>
      <c r="O16" s="787">
        <f t="shared" si="2"/>
        <v>38.813000000000002</v>
      </c>
      <c r="P16" s="787">
        <f t="shared" si="2"/>
        <v>45.518000000000001</v>
      </c>
      <c r="Q16" s="787">
        <f t="shared" si="2"/>
        <v>43.606300000000005</v>
      </c>
      <c r="R16" s="787">
        <f t="shared" si="2"/>
        <v>44.2074</v>
      </c>
      <c r="S16" s="787">
        <f t="shared" si="2"/>
        <v>44.112200000000001</v>
      </c>
      <c r="T16" s="787">
        <f t="shared" si="2"/>
        <v>43.073800000000006</v>
      </c>
      <c r="U16" s="787">
        <f t="shared" si="2"/>
        <v>39.745200000000004</v>
      </c>
      <c r="V16" s="787">
        <f t="shared" si="2"/>
        <v>39.734000000000009</v>
      </c>
      <c r="W16" s="787">
        <f t="shared" si="2"/>
        <v>44.725999999999999</v>
      </c>
      <c r="X16" s="787">
        <f t="shared" si="2"/>
        <v>49.141400000000004</v>
      </c>
      <c r="Y16" s="787">
        <f t="shared" si="2"/>
        <v>45.104399999999998</v>
      </c>
      <c r="Z16" s="787">
        <f t="shared" si="2"/>
        <v>43.454700000000003</v>
      </c>
      <c r="AA16" s="787">
        <f t="shared" si="2"/>
        <v>43.201300000000003</v>
      </c>
      <c r="AB16" s="787">
        <f t="shared" si="2"/>
        <v>35.607699999999994</v>
      </c>
      <c r="AC16" s="787">
        <f t="shared" si="2"/>
        <v>32.627426142120001</v>
      </c>
      <c r="AD16" s="787">
        <f t="shared" si="2"/>
        <v>28.4698677001</v>
      </c>
      <c r="AE16" s="787">
        <f t="shared" si="2"/>
        <v>18.839448967460001</v>
      </c>
      <c r="AF16" s="787">
        <f t="shared" si="2"/>
        <v>13.379486891380001</v>
      </c>
      <c r="AG16" s="787">
        <f t="shared" si="2"/>
        <v>14.02191874551</v>
      </c>
      <c r="AH16" s="787">
        <f t="shared" si="2"/>
        <v>22.606652264280001</v>
      </c>
      <c r="AI16" s="787">
        <f t="shared" ref="AI16" si="3">AI6</f>
        <v>13.2198851156488</v>
      </c>
      <c r="AJ16" s="787">
        <f t="shared" si="2"/>
        <v>3.8293995209383009</v>
      </c>
    </row>
    <row r="17" spans="1:36">
      <c r="A17" s="781" t="str">
        <f t="shared" ref="A17:AJ17" si="4">A7</f>
        <v>Gas naturale</v>
      </c>
      <c r="B17" s="787">
        <f t="shared" si="4"/>
        <v>39.709000000000003</v>
      </c>
      <c r="C17" s="787">
        <f t="shared" si="4"/>
        <v>36.341999999999999</v>
      </c>
      <c r="D17" s="787">
        <f t="shared" si="4"/>
        <v>35.475999999999999</v>
      </c>
      <c r="E17" s="787">
        <f t="shared" si="4"/>
        <v>39.963000000000001</v>
      </c>
      <c r="F17" s="787">
        <f t="shared" si="4"/>
        <v>40.804000000000002</v>
      </c>
      <c r="G17" s="787">
        <f t="shared" si="4"/>
        <v>46.997999999999998</v>
      </c>
      <c r="H17" s="787">
        <f t="shared" si="4"/>
        <v>50.191000000000003</v>
      </c>
      <c r="I17" s="787">
        <f t="shared" si="4"/>
        <v>61.292999999999999</v>
      </c>
      <c r="J17" s="787">
        <f t="shared" si="4"/>
        <v>70.882999999999996</v>
      </c>
      <c r="K17" s="787">
        <f t="shared" si="4"/>
        <v>86.983000000000004</v>
      </c>
      <c r="L17" s="787">
        <f t="shared" si="4"/>
        <v>101.36</v>
      </c>
      <c r="M17" s="787">
        <f t="shared" si="4"/>
        <v>104.1875</v>
      </c>
      <c r="N17" s="787">
        <f t="shared" si="4"/>
        <v>99.413800000000009</v>
      </c>
      <c r="O17" s="787">
        <f t="shared" si="4"/>
        <v>117.301</v>
      </c>
      <c r="P17" s="787">
        <f t="shared" si="4"/>
        <v>129.77209999999999</v>
      </c>
      <c r="Q17" s="787">
        <f t="shared" si="4"/>
        <v>149.2586</v>
      </c>
      <c r="R17" s="787">
        <f t="shared" si="4"/>
        <v>158.0788</v>
      </c>
      <c r="S17" s="787">
        <f t="shared" si="4"/>
        <v>172.64589999999998</v>
      </c>
      <c r="T17" s="787">
        <f t="shared" si="4"/>
        <v>172.69720000000001</v>
      </c>
      <c r="U17" s="787">
        <f t="shared" si="4"/>
        <v>147.27010000000001</v>
      </c>
      <c r="V17" s="787">
        <f t="shared" si="4"/>
        <v>152.73689999999999</v>
      </c>
      <c r="W17" s="787">
        <f t="shared" si="4"/>
        <v>144.548</v>
      </c>
      <c r="X17" s="787">
        <f t="shared" si="4"/>
        <v>129.0581</v>
      </c>
      <c r="Y17" s="787">
        <f t="shared" si="4"/>
        <v>108.87560000000001</v>
      </c>
      <c r="Z17" s="787">
        <f t="shared" si="4"/>
        <v>93.637299999999996</v>
      </c>
      <c r="AA17" s="787">
        <f t="shared" si="4"/>
        <v>110.8601</v>
      </c>
      <c r="AB17" s="787">
        <f t="shared" si="4"/>
        <v>126.1481</v>
      </c>
      <c r="AC17" s="787">
        <f t="shared" si="4"/>
        <v>140.33288427196001</v>
      </c>
      <c r="AD17" s="787">
        <f t="shared" si="4"/>
        <v>128.48755475789</v>
      </c>
      <c r="AE17" s="787">
        <f t="shared" si="4"/>
        <v>141.68700212828</v>
      </c>
      <c r="AF17" s="787">
        <f t="shared" si="4"/>
        <v>133.68278357062999</v>
      </c>
      <c r="AG17" s="787">
        <f t="shared" si="4"/>
        <v>143.99795016602999</v>
      </c>
      <c r="AH17" s="787">
        <f t="shared" si="4"/>
        <v>141.44531220990001</v>
      </c>
      <c r="AI17" s="787">
        <f t="shared" ref="AI17" si="5">AI7</f>
        <v>118.986516222533</v>
      </c>
      <c r="AJ17" s="787">
        <f t="shared" si="4"/>
        <v>122.62472029332807</v>
      </c>
    </row>
    <row r="18" spans="1:36">
      <c r="A18" s="781" t="str">
        <f t="shared" ref="A18:AJ18" si="6">A8</f>
        <v>Gas derivati</v>
      </c>
      <c r="B18" s="787">
        <f t="shared" si="6"/>
        <v>3.7149999999999999</v>
      </c>
      <c r="C18" s="787">
        <f t="shared" si="6"/>
        <v>3.6659999999999999</v>
      </c>
      <c r="D18" s="787">
        <f t="shared" si="6"/>
        <v>3.6509999999999998</v>
      </c>
      <c r="E18" s="787">
        <f t="shared" si="6"/>
        <v>3.536</v>
      </c>
      <c r="F18" s="787">
        <f t="shared" si="6"/>
        <v>3.0880000000000001</v>
      </c>
      <c r="G18" s="787">
        <f t="shared" si="6"/>
        <v>3.4460000000000002</v>
      </c>
      <c r="H18" s="787">
        <f t="shared" si="6"/>
        <v>3.2429999999999999</v>
      </c>
      <c r="I18" s="787">
        <f t="shared" si="6"/>
        <v>4.2510000000000003</v>
      </c>
      <c r="J18" s="787">
        <f t="shared" si="6"/>
        <v>4.516</v>
      </c>
      <c r="K18" s="787">
        <f t="shared" si="6"/>
        <v>4.4130000000000003</v>
      </c>
      <c r="L18" s="787">
        <f t="shared" si="6"/>
        <v>4.2519999999999998</v>
      </c>
      <c r="M18" s="787">
        <f t="shared" si="6"/>
        <v>5.0449999999999999</v>
      </c>
      <c r="N18" s="787">
        <f t="shared" si="6"/>
        <v>5.0209999999999999</v>
      </c>
      <c r="O18" s="787">
        <f t="shared" si="6"/>
        <v>5.3040000000000003</v>
      </c>
      <c r="P18" s="787">
        <f t="shared" si="6"/>
        <v>5.359</v>
      </c>
      <c r="Q18" s="787">
        <f t="shared" si="6"/>
        <v>5.8132000000000001</v>
      </c>
      <c r="R18" s="787">
        <f t="shared" si="6"/>
        <v>6.2291000000000007</v>
      </c>
      <c r="S18" s="787">
        <f t="shared" si="6"/>
        <v>5.6231</v>
      </c>
      <c r="T18" s="787">
        <f t="shared" si="6"/>
        <v>5.5167000000000002</v>
      </c>
      <c r="U18" s="787">
        <f t="shared" si="6"/>
        <v>3.6706999999999996</v>
      </c>
      <c r="V18" s="787">
        <f t="shared" si="6"/>
        <v>4.6993999999999998</v>
      </c>
      <c r="W18" s="787">
        <f t="shared" si="6"/>
        <v>5.4133999999999993</v>
      </c>
      <c r="X18" s="787">
        <f t="shared" si="6"/>
        <v>4.9697999999999993</v>
      </c>
      <c r="Y18" s="787">
        <f t="shared" si="6"/>
        <v>3.39</v>
      </c>
      <c r="Z18" s="787">
        <f t="shared" si="6"/>
        <v>3.0696000000000003</v>
      </c>
      <c r="AA18" s="787">
        <f t="shared" si="6"/>
        <v>2.1873</v>
      </c>
      <c r="AB18" s="787">
        <f t="shared" si="6"/>
        <v>2.7968000000000002</v>
      </c>
      <c r="AC18" s="787">
        <f t="shared" si="6"/>
        <v>2.4687542050499998</v>
      </c>
      <c r="AD18" s="787">
        <f t="shared" si="6"/>
        <v>2.4857946653799998</v>
      </c>
      <c r="AE18" s="787">
        <f t="shared" si="6"/>
        <v>2.4133499243599998</v>
      </c>
      <c r="AF18" s="787">
        <f t="shared" si="6"/>
        <v>1.6634841760800001</v>
      </c>
      <c r="AG18" s="787">
        <f t="shared" si="6"/>
        <v>1.91408728844</v>
      </c>
      <c r="AH18" s="787">
        <f t="shared" si="6"/>
        <v>1.58938302915</v>
      </c>
      <c r="AI18" s="787">
        <f t="shared" ref="AI18" si="7">AI8</f>
        <v>1.1565384328231649</v>
      </c>
      <c r="AJ18" s="787">
        <f t="shared" si="6"/>
        <v>1.0987225014559785</v>
      </c>
    </row>
    <row r="19" spans="1:36">
      <c r="A19" s="781" t="str">
        <f t="shared" ref="A19:AJ19" si="8">A9</f>
        <v>Prodotti petroliferi</v>
      </c>
      <c r="B19" s="787">
        <f t="shared" si="8"/>
        <v>102.71899999999999</v>
      </c>
      <c r="C19" s="787">
        <f t="shared" si="8"/>
        <v>104.28700000000001</v>
      </c>
      <c r="D19" s="787">
        <f t="shared" si="8"/>
        <v>116.02</v>
      </c>
      <c r="E19" s="787">
        <f t="shared" si="8"/>
        <v>113.919</v>
      </c>
      <c r="F19" s="787">
        <f t="shared" si="8"/>
        <v>116.312</v>
      </c>
      <c r="G19" s="787">
        <f t="shared" si="8"/>
        <v>120.8</v>
      </c>
      <c r="H19" s="787">
        <f t="shared" si="8"/>
        <v>117.08799999999999</v>
      </c>
      <c r="I19" s="787">
        <f t="shared" si="8"/>
        <v>113.312</v>
      </c>
      <c r="J19" s="787">
        <f t="shared" si="8"/>
        <v>107.30500000000001</v>
      </c>
      <c r="K19" s="787">
        <f t="shared" si="8"/>
        <v>91.379000000000005</v>
      </c>
      <c r="L19" s="787">
        <f t="shared" si="8"/>
        <v>85.878</v>
      </c>
      <c r="M19" s="787">
        <f t="shared" si="8"/>
        <v>75.008200000000016</v>
      </c>
      <c r="N19" s="787">
        <f t="shared" si="8"/>
        <v>87.765600000000006</v>
      </c>
      <c r="O19" s="787">
        <f t="shared" si="8"/>
        <v>75.986000000000004</v>
      </c>
      <c r="P19" s="787">
        <f t="shared" si="8"/>
        <v>58.891100000000002</v>
      </c>
      <c r="Q19" s="787">
        <f t="shared" si="8"/>
        <v>47.1233</v>
      </c>
      <c r="R19" s="787">
        <f t="shared" si="8"/>
        <v>45.877499999999998</v>
      </c>
      <c r="S19" s="787">
        <f t="shared" si="8"/>
        <v>35.408199999999994</v>
      </c>
      <c r="T19" s="787">
        <f t="shared" si="8"/>
        <v>31.458600000000001</v>
      </c>
      <c r="U19" s="787">
        <f t="shared" si="8"/>
        <v>26.020799999999998</v>
      </c>
      <c r="V19" s="787">
        <f t="shared" si="8"/>
        <v>21.715699999999998</v>
      </c>
      <c r="W19" s="787">
        <f t="shared" si="8"/>
        <v>19.885099999999998</v>
      </c>
      <c r="X19" s="787">
        <f t="shared" si="8"/>
        <v>18.888600000000004</v>
      </c>
      <c r="Y19" s="787">
        <f t="shared" si="8"/>
        <v>15.481699999999996</v>
      </c>
      <c r="Z19" s="787">
        <f t="shared" si="8"/>
        <v>14.164200000000001</v>
      </c>
      <c r="AA19" s="787">
        <f t="shared" si="8"/>
        <v>13.385800000000001</v>
      </c>
      <c r="AB19" s="787">
        <f t="shared" si="8"/>
        <v>12.129700000000001</v>
      </c>
      <c r="AC19" s="787">
        <f t="shared" si="8"/>
        <v>11.526694451159997</v>
      </c>
      <c r="AD19" s="787">
        <f t="shared" si="8"/>
        <v>11.02912954766</v>
      </c>
      <c r="AE19" s="787">
        <f t="shared" si="8"/>
        <v>10.15311537819</v>
      </c>
      <c r="AF19" s="787">
        <f t="shared" si="8"/>
        <v>10.043258547610002</v>
      </c>
      <c r="AG19" s="787">
        <f t="shared" si="8"/>
        <v>7.7480854822399996</v>
      </c>
      <c r="AH19" s="787">
        <f t="shared" si="8"/>
        <v>12.861937289709998</v>
      </c>
      <c r="AI19" s="787">
        <f t="shared" ref="AI19" si="9">AI9</f>
        <v>10.191484636876364</v>
      </c>
      <c r="AJ19" s="787">
        <f t="shared" si="8"/>
        <v>7.507487149771233</v>
      </c>
    </row>
    <row r="20" spans="1:36">
      <c r="A20" s="781" t="s">
        <v>598</v>
      </c>
      <c r="B20" s="787">
        <f>'7'!B8-'1'!B12</f>
        <v>0</v>
      </c>
      <c r="C20" s="787">
        <f>'7'!C8-'1'!C12</f>
        <v>0</v>
      </c>
      <c r="D20" s="787">
        <f>'7'!D8-'1'!D12</f>
        <v>0.3130000000000166</v>
      </c>
      <c r="E20" s="787">
        <f>'7'!E8-'1'!E12</f>
        <v>0.35300000000000864</v>
      </c>
      <c r="F20" s="787">
        <f>'7'!F8-'1'!F12</f>
        <v>0.30400000000000205</v>
      </c>
      <c r="G20" s="787">
        <f>'7'!G8-'1'!G12</f>
        <v>0.36899999999999977</v>
      </c>
      <c r="H20" s="787">
        <f>'7'!H8-'1'!H12</f>
        <v>0.34500000000002728</v>
      </c>
      <c r="I20" s="787">
        <f>'7'!I8-'1'!I12</f>
        <v>0.6869999999999834</v>
      </c>
      <c r="J20" s="787">
        <f>'7'!J8-'1'!J12</f>
        <v>0.72700000000000387</v>
      </c>
      <c r="K20" s="787">
        <f>'7'!K8-'1'!K12</f>
        <v>0.65700000000001069</v>
      </c>
      <c r="L20" s="787">
        <f>'7'!L8-'1'!L12</f>
        <v>0.78600000000000136</v>
      </c>
      <c r="M20" s="787">
        <f>'7'!M8-'1'!M12</f>
        <v>0.82099999999999795</v>
      </c>
      <c r="N20" s="787">
        <f>'7'!N8-'1'!N12</f>
        <v>0.76899999999997704</v>
      </c>
      <c r="O20" s="787">
        <f>'7'!O8-'1'!O12</f>
        <v>0.88800000000000523</v>
      </c>
      <c r="P20" s="787">
        <f>'7'!P8-'1'!P12</f>
        <v>0.94999999999998863</v>
      </c>
      <c r="Q20" s="787">
        <f>'7'!Q8-'1'!Q12</f>
        <v>1.1160000000000139</v>
      </c>
      <c r="R20" s="787">
        <f>'7'!R8-'1'!R12</f>
        <v>1.0269999999999868</v>
      </c>
      <c r="S20" s="787">
        <f>'7'!S8-'1'!S12</f>
        <v>1.021000000000015</v>
      </c>
      <c r="T20" s="787">
        <f>'7'!T8-'1'!T12</f>
        <v>0.91599999999999682</v>
      </c>
      <c r="U20" s="787">
        <f>'7'!U8-'1'!U12</f>
        <v>0.60299999999998022</v>
      </c>
      <c r="V20" s="787">
        <f>'7'!V8-'1'!V12</f>
        <v>0.77699999999998681</v>
      </c>
      <c r="W20" s="787">
        <f>'7'!W8-'1'!W12</f>
        <v>0.80799999999999272</v>
      </c>
      <c r="X20" s="787">
        <f>'7'!X8-'1'!X12</f>
        <v>0.75099999999997635</v>
      </c>
      <c r="Y20" s="787">
        <f>'7'!Y8-'1'!Y12</f>
        <v>0.75300000000001432</v>
      </c>
      <c r="Z20" s="787">
        <f>'7'!Z8-'1'!Z12</f>
        <v>0.66100000000002979</v>
      </c>
      <c r="AA20" s="787">
        <f>'7'!AA8-'1'!AA12</f>
        <v>0.59520000000003392</v>
      </c>
      <c r="AB20" s="787">
        <f>'7'!AB8-'1'!AB12</f>
        <v>0.73560000000000514</v>
      </c>
      <c r="AC20" s="787">
        <f>'7'!AC8-'1'!AC12</f>
        <v>0.66099317199999064</v>
      </c>
      <c r="AD20" s="787">
        <f>'7'!AD8-'1'!AD12</f>
        <v>0.60119554269999753</v>
      </c>
      <c r="AE20" s="787">
        <f>'7'!AE8-'1'!AE12</f>
        <v>0.64985721116997297</v>
      </c>
      <c r="AF20" s="787">
        <f>'7'!AF8-'1'!AF12</f>
        <v>0.50148429092996594</v>
      </c>
      <c r="AG20" s="787">
        <f>'7'!AG8-'1'!AG12</f>
        <v>0.57884969508003792</v>
      </c>
      <c r="AH20" s="787">
        <f>'7'!AH8-'1'!AH12</f>
        <v>0.70288230999997836</v>
      </c>
      <c r="AI20" s="787">
        <f>'7'!AI8-'1'!AI12</f>
        <v>0.61341666783425808</v>
      </c>
      <c r="AJ20" s="787">
        <f>'7'!AJ8-'1'!AJ12</f>
        <v>0.65978582064329316</v>
      </c>
    </row>
    <row r="21" spans="1:36">
      <c r="A21" s="781" t="s">
        <v>599</v>
      </c>
      <c r="B21" s="787">
        <f t="shared" ref="B21:AJ21" si="10">B10-B27</f>
        <v>5.1499999999999997E-2</v>
      </c>
      <c r="C21" s="787">
        <f t="shared" si="10"/>
        <v>0.11619999999999998</v>
      </c>
      <c r="D21" s="787">
        <f t="shared" si="10"/>
        <v>9.1999999999999998E-2</v>
      </c>
      <c r="E21" s="787">
        <f t="shared" si="10"/>
        <v>0.104</v>
      </c>
      <c r="F21" s="787">
        <f t="shared" si="10"/>
        <v>9.2649999999999982E-2</v>
      </c>
      <c r="G21" s="787">
        <f t="shared" si="10"/>
        <v>8.610000000000001E-2</v>
      </c>
      <c r="H21" s="787">
        <f t="shared" si="10"/>
        <v>0.12089999999999995</v>
      </c>
      <c r="I21" s="787">
        <f t="shared" si="10"/>
        <v>0.12784999999999991</v>
      </c>
      <c r="J21" s="787">
        <f t="shared" si="10"/>
        <v>0.23549999999999993</v>
      </c>
      <c r="K21" s="787">
        <f t="shared" si="10"/>
        <v>0.32719999999999994</v>
      </c>
      <c r="L21" s="787">
        <f t="shared" si="10"/>
        <v>0.40344999999999986</v>
      </c>
      <c r="M21" s="787">
        <f t="shared" si="10"/>
        <v>0.6293500000000003</v>
      </c>
      <c r="N21" s="787">
        <f t="shared" si="10"/>
        <v>0.80204999999999949</v>
      </c>
      <c r="O21" s="787">
        <f t="shared" si="10"/>
        <v>0.90595000000000026</v>
      </c>
      <c r="P21" s="787">
        <f t="shared" si="10"/>
        <v>1.1384999999999996</v>
      </c>
      <c r="Q21" s="787">
        <f t="shared" si="10"/>
        <v>1.30985</v>
      </c>
      <c r="R21" s="787">
        <f t="shared" si="10"/>
        <v>1.4582999999999995</v>
      </c>
      <c r="S21" s="787">
        <f t="shared" si="10"/>
        <v>1.5124500000000003</v>
      </c>
      <c r="T21" s="787">
        <f t="shared" si="10"/>
        <v>1.6993499999999999</v>
      </c>
      <c r="U21" s="787">
        <f t="shared" si="10"/>
        <v>1.772380000000001</v>
      </c>
      <c r="V21" s="787">
        <f t="shared" si="10"/>
        <v>2.1447099999999999</v>
      </c>
      <c r="W21" s="787">
        <f t="shared" si="10"/>
        <v>2.3045000000000009</v>
      </c>
      <c r="X21" s="787">
        <f t="shared" si="10"/>
        <v>2.265900000000002</v>
      </c>
      <c r="Y21" s="787">
        <f t="shared" si="10"/>
        <v>2.2927999999999997</v>
      </c>
      <c r="Z21" s="787">
        <f t="shared" si="10"/>
        <v>2.4514000000000067</v>
      </c>
      <c r="AA21" s="787">
        <f t="shared" si="10"/>
        <v>2.4279999999999973</v>
      </c>
      <c r="AB21" s="787">
        <f t="shared" si="10"/>
        <v>2.5031000000000034</v>
      </c>
      <c r="AC21" s="787">
        <f t="shared" si="10"/>
        <v>2.4895409297100137</v>
      </c>
      <c r="AD21" s="787">
        <f t="shared" si="10"/>
        <v>2.5038775132900035</v>
      </c>
      <c r="AE21" s="787">
        <f t="shared" si="10"/>
        <v>2.4284135880800051</v>
      </c>
      <c r="AF21" s="787">
        <f t="shared" si="10"/>
        <v>2.402288195649998</v>
      </c>
      <c r="AG21" s="787">
        <f t="shared" si="10"/>
        <v>2.3794346780999973</v>
      </c>
      <c r="AH21" s="787">
        <f t="shared" si="10"/>
        <v>2.396055936789999</v>
      </c>
      <c r="AI21" s="787">
        <f t="shared" ref="AI21" si="11">AI10-AI27</f>
        <v>2.4023835507234281</v>
      </c>
      <c r="AJ21" s="787">
        <f t="shared" si="10"/>
        <v>0.88121405839130773</v>
      </c>
    </row>
    <row r="22" spans="1:36">
      <c r="A22" s="781" t="str">
        <f>'6'!A6</f>
        <v>Idroelettrica</v>
      </c>
      <c r="B22" s="787">
        <f>'6'!B6</f>
        <v>31.626000000000001</v>
      </c>
      <c r="C22" s="787">
        <f>'6'!C6</f>
        <v>42.2395</v>
      </c>
      <c r="D22" s="787">
        <f>'6'!D6</f>
        <v>42.2</v>
      </c>
      <c r="E22" s="787">
        <f>'6'!E6</f>
        <v>41.424999999999997</v>
      </c>
      <c r="F22" s="787">
        <f>'6'!F6</f>
        <v>44.658099999999997</v>
      </c>
      <c r="G22" s="787">
        <f>'6'!G6</f>
        <v>37.780800000000006</v>
      </c>
      <c r="H22" s="787">
        <f>'6'!H6</f>
        <v>42.035599999999995</v>
      </c>
      <c r="I22" s="787">
        <f>'6'!I6</f>
        <v>41.599800000000002</v>
      </c>
      <c r="J22" s="787">
        <f>'6'!J6</f>
        <v>41.213600000000007</v>
      </c>
      <c r="K22" s="787">
        <f>'6'!K6</f>
        <v>45.357999999999997</v>
      </c>
      <c r="L22" s="787">
        <f>'6'!L6</f>
        <v>44.2</v>
      </c>
      <c r="M22" s="787">
        <f>'6'!M6</f>
        <v>46.810400000000001</v>
      </c>
      <c r="N22" s="787">
        <f>'6'!N6</f>
        <v>39.519300000000001</v>
      </c>
      <c r="O22" s="787">
        <f>'6'!O6</f>
        <v>36.668999999999997</v>
      </c>
      <c r="P22" s="787">
        <f>'6'!P6</f>
        <v>42.337799999999994</v>
      </c>
      <c r="Q22" s="787">
        <f>'6'!Q6</f>
        <v>36.066699999999997</v>
      </c>
      <c r="R22" s="787">
        <f>'6'!R6</f>
        <v>36.994399999999999</v>
      </c>
      <c r="S22" s="787">
        <f>'6'!S6</f>
        <v>32.815199999999997</v>
      </c>
      <c r="T22" s="787">
        <f>'6'!T6</f>
        <v>41.622999999999998</v>
      </c>
      <c r="U22" s="787">
        <f>'6'!U6</f>
        <v>49.137500000000003</v>
      </c>
      <c r="V22" s="787">
        <f>'6'!V6</f>
        <v>51.116779999999999</v>
      </c>
      <c r="W22" s="787">
        <f>'6'!W6</f>
        <v>45.822660000000006</v>
      </c>
      <c r="X22" s="787">
        <f>'6'!X6</f>
        <v>41.874899999999997</v>
      </c>
      <c r="Y22" s="787">
        <f>'6'!Y6</f>
        <v>52.773400000000002</v>
      </c>
      <c r="Z22" s="787">
        <f>'6'!Z6</f>
        <v>58.545400000000001</v>
      </c>
      <c r="AA22" s="787">
        <f>'6'!AA6</f>
        <v>45.537300000000002</v>
      </c>
      <c r="AB22" s="787">
        <f>'6'!AB6</f>
        <v>42.431800000000003</v>
      </c>
      <c r="AC22" s="787">
        <f>'6'!AC6</f>
        <v>36.198699999999995</v>
      </c>
      <c r="AD22" s="787">
        <f>'6'!AD6</f>
        <v>48.786539999999995</v>
      </c>
      <c r="AE22" s="787">
        <f>'6'!AE6</f>
        <v>46.3185</v>
      </c>
      <c r="AF22" s="787">
        <f>'6'!AF6</f>
        <v>47.55178432772005</v>
      </c>
      <c r="AG22" s="787">
        <f>'6'!AG6</f>
        <v>45.388100000000009</v>
      </c>
      <c r="AH22" s="787">
        <f>'6'!AH6</f>
        <v>28.397599999999997</v>
      </c>
      <c r="AI22" s="787">
        <f>'6'!AI6</f>
        <v>40.517300000000006</v>
      </c>
      <c r="AJ22" s="787">
        <f>'6'!AJ6</f>
        <v>52.949675057414986</v>
      </c>
    </row>
    <row r="23" spans="1:36">
      <c r="A23" s="781" t="s">
        <v>600</v>
      </c>
      <c r="B23" s="787">
        <f>'7'!B6-'6'!B6</f>
        <v>3.4529999999999994</v>
      </c>
      <c r="C23" s="787">
        <f>'7'!C6-'6'!C6</f>
        <v>3.3669999999999973</v>
      </c>
      <c r="D23" s="787">
        <f>'7'!D6-'6'!D6</f>
        <v>3.5859999999999985</v>
      </c>
      <c r="E23" s="787">
        <f>'7'!E6-'6'!E6</f>
        <v>3.0570000000000022</v>
      </c>
      <c r="F23" s="787">
        <f>'7'!F6-'6'!F6</f>
        <v>3.0730000000000004</v>
      </c>
      <c r="G23" s="787">
        <f>'7'!G6-'6'!G6</f>
        <v>4.125</v>
      </c>
      <c r="H23" s="787">
        <f>'7'!H6-'6'!H6</f>
        <v>5.0350000000000037</v>
      </c>
      <c r="I23" s="787">
        <f>'7'!I6-'6'!I6</f>
        <v>4.9489999999999981</v>
      </c>
      <c r="J23" s="787">
        <f>'7'!J6-'6'!J6</f>
        <v>6.144999999999996</v>
      </c>
      <c r="K23" s="787">
        <f>'7'!K6-'6'!K6</f>
        <v>6.4120000000000061</v>
      </c>
      <c r="L23" s="787">
        <f>'7'!L6-'6'!L6</f>
        <v>6.6999999999999957</v>
      </c>
      <c r="M23" s="787">
        <f>'7'!M6-'6'!M6</f>
        <v>7.115000000000002</v>
      </c>
      <c r="N23" s="787">
        <f>'7'!N6-'6'!N6</f>
        <v>7.7430000000000021</v>
      </c>
      <c r="O23" s="787">
        <f>'7'!O6-'6'!O6</f>
        <v>7.6070000000000064</v>
      </c>
      <c r="P23" s="787">
        <f>'7'!P6-'6'!P6</f>
        <v>7.57</v>
      </c>
      <c r="Q23" s="787">
        <f>'7'!Q6-'6'!Q6</f>
        <v>6.8599999999999994</v>
      </c>
      <c r="R23" s="787">
        <f>'7'!R6-'6'!R6</f>
        <v>6.4310000000000045</v>
      </c>
      <c r="S23" s="787">
        <f>'7'!S6-'6'!S6</f>
        <v>5.6659999999999968</v>
      </c>
      <c r="T23" s="787">
        <f>'7'!T6-'6'!T6</f>
        <v>5.6039999999999992</v>
      </c>
      <c r="U23" s="787">
        <f>'7'!U6-'6'!U6</f>
        <v>4.3049999999999997</v>
      </c>
      <c r="V23" s="787">
        <f>'7'!V6-'6'!V6</f>
        <v>3.2899999999999991</v>
      </c>
      <c r="W23" s="787">
        <f>'7'!W6-'6'!W6</f>
        <v>1.9339999999999975</v>
      </c>
      <c r="X23" s="787">
        <f>'7'!X6-'6'!X6</f>
        <v>1.9789999999999992</v>
      </c>
      <c r="Y23" s="787">
        <f>'7'!Y6-'6'!Y6</f>
        <v>1.8979999999999961</v>
      </c>
      <c r="Z23" s="787">
        <f>'7'!Z6-'6'!Z6</f>
        <v>1.7109999999999985</v>
      </c>
      <c r="AA23" s="787">
        <f>'7'!AA6-'6'!AA6</f>
        <v>1.4320999999999984</v>
      </c>
      <c r="AB23" s="787">
        <f>'7'!AB6-'6'!AB6</f>
        <v>1.8251999999999953</v>
      </c>
      <c r="AC23" s="787">
        <f>'7'!AC6-'6'!AC6</f>
        <v>1.8260000000000005</v>
      </c>
      <c r="AD23" s="787">
        <f>'7'!AD6-'6'!AD6</f>
        <v>1.7163000000000039</v>
      </c>
      <c r="AE23" s="787">
        <f>'7'!AE6-'6'!AE6</f>
        <v>1.8350000000000009</v>
      </c>
      <c r="AF23" s="787">
        <f>'7'!AF6-'6'!AF6</f>
        <v>1.9434710000000024</v>
      </c>
      <c r="AG23" s="787">
        <f>'7'!AG6-'6'!AG6</f>
        <v>2.0901999999999958</v>
      </c>
      <c r="AH23" s="787">
        <f>'7'!AH6-'6'!AH6</f>
        <v>1.8932000000000038</v>
      </c>
      <c r="AI23" s="787">
        <f>'7'!AI6-'6'!AI6</f>
        <v>1.5509999999999948</v>
      </c>
      <c r="AJ23" s="787">
        <f>'7'!AJ6-'6'!AJ6</f>
        <v>1.4982737922217666</v>
      </c>
    </row>
    <row r="24" spans="1:36">
      <c r="A24" s="781" t="str">
        <f>'6'!A10</f>
        <v>Eolica</v>
      </c>
      <c r="B24" s="787">
        <f>'6'!B10</f>
        <v>2E-3</v>
      </c>
      <c r="C24" s="787">
        <f>'6'!C10</f>
        <v>3.0000000000000001E-3</v>
      </c>
      <c r="D24" s="787">
        <f>'6'!D10</f>
        <v>2E-3</v>
      </c>
      <c r="E24" s="787">
        <f>'6'!E10</f>
        <v>4.0000000000000001E-3</v>
      </c>
      <c r="F24" s="787">
        <f>'6'!F10</f>
        <v>6.3E-3</v>
      </c>
      <c r="G24" s="787">
        <f>'6'!G10</f>
        <v>9.9000000000000008E-3</v>
      </c>
      <c r="H24" s="787">
        <f>'6'!H10</f>
        <v>3.27E-2</v>
      </c>
      <c r="I24" s="787">
        <f>'6'!I10</f>
        <v>0.1178</v>
      </c>
      <c r="J24" s="787">
        <f>'6'!J10</f>
        <v>0.23169999999999999</v>
      </c>
      <c r="K24" s="787">
        <f>'6'!K10</f>
        <v>0.40250000000000002</v>
      </c>
      <c r="L24" s="787">
        <f>'6'!L10</f>
        <v>0.56310000000000004</v>
      </c>
      <c r="M24" s="787">
        <f>'6'!M10</f>
        <v>1.1785999999999999</v>
      </c>
      <c r="N24" s="787">
        <f>'6'!N10</f>
        <v>1.4042000000000001</v>
      </c>
      <c r="O24" s="787">
        <f>'6'!O10</f>
        <v>1.4584000000000001</v>
      </c>
      <c r="P24" s="787">
        <f>'6'!P10</f>
        <v>1.8465</v>
      </c>
      <c r="Q24" s="787">
        <f>'6'!Q10</f>
        <v>2.3433999999999999</v>
      </c>
      <c r="R24" s="787">
        <f>'6'!R10</f>
        <v>2.9706999999999999</v>
      </c>
      <c r="S24" s="787">
        <f>'6'!S10</f>
        <v>4.0343999999999998</v>
      </c>
      <c r="T24" s="787">
        <f>'6'!T10</f>
        <v>4.8613</v>
      </c>
      <c r="U24" s="787">
        <f>'6'!U10</f>
        <v>6.5428999999999995</v>
      </c>
      <c r="V24" s="787">
        <f>'6'!V10</f>
        <v>9.1258999999999997</v>
      </c>
      <c r="W24" s="787">
        <f>'6'!W10</f>
        <v>9.8563999999999989</v>
      </c>
      <c r="X24" s="787">
        <f>'6'!X10</f>
        <v>13.4071</v>
      </c>
      <c r="Y24" s="787">
        <f>'6'!Y10</f>
        <v>14.897</v>
      </c>
      <c r="Z24" s="787">
        <f>'6'!Z10</f>
        <v>15.1783</v>
      </c>
      <c r="AA24" s="787">
        <f>'6'!AA10</f>
        <v>14.8439</v>
      </c>
      <c r="AB24" s="787">
        <f>'6'!AB10</f>
        <v>17.688700000000001</v>
      </c>
      <c r="AC24" s="787">
        <f>'6'!AC10</f>
        <v>17.741900000000001</v>
      </c>
      <c r="AD24" s="787">
        <f>'6'!AD10</f>
        <v>17.7164</v>
      </c>
      <c r="AE24" s="787">
        <f>'6'!AE10</f>
        <v>20.202000000000002</v>
      </c>
      <c r="AF24" s="787">
        <f>'6'!AF10</f>
        <v>18.761557</v>
      </c>
      <c r="AG24" s="787">
        <f>'6'!AG10</f>
        <v>20.927299999999999</v>
      </c>
      <c r="AH24" s="787">
        <f>'6'!AH10</f>
        <v>20.494199999999999</v>
      </c>
      <c r="AI24" s="787">
        <f>'6'!AI10</f>
        <v>23.640499999999999</v>
      </c>
      <c r="AJ24" s="787">
        <f>'6'!AJ10</f>
        <v>22.312927334160218</v>
      </c>
    </row>
    <row r="25" spans="1:36">
      <c r="A25" s="781" t="str">
        <f>'6'!A11</f>
        <v>Fotovoltaica</v>
      </c>
      <c r="B25" s="787">
        <f>'6'!B11</f>
        <v>4.0000000000000001E-3</v>
      </c>
      <c r="C25" s="787">
        <f>'6'!C11</f>
        <v>5.0000000000000001E-3</v>
      </c>
      <c r="D25" s="787">
        <f>'6'!D11</f>
        <v>8.9999999999999993E-3</v>
      </c>
      <c r="E25" s="787">
        <f>'6'!E11</f>
        <v>1.0999999999999999E-2</v>
      </c>
      <c r="F25" s="787">
        <f>'6'!F11</f>
        <v>1.0999999999999999E-2</v>
      </c>
      <c r="G25" s="787">
        <f>'6'!G11</f>
        <v>1.2999999999999999E-2</v>
      </c>
      <c r="H25" s="787">
        <f>'6'!H11</f>
        <v>1.4E-2</v>
      </c>
      <c r="I25" s="787">
        <f>'6'!I11</f>
        <v>1.4999999999999999E-2</v>
      </c>
      <c r="J25" s="787">
        <f>'6'!J11</f>
        <v>1.6E-2</v>
      </c>
      <c r="K25" s="787">
        <f>'6'!K11</f>
        <v>1.7000000000000001E-2</v>
      </c>
      <c r="L25" s="787">
        <f>'6'!L11</f>
        <v>1.7999999999999999E-2</v>
      </c>
      <c r="M25" s="787">
        <f>'6'!M11</f>
        <v>1.9E-2</v>
      </c>
      <c r="N25" s="787">
        <f>'6'!N11</f>
        <v>2.1000000000000001E-2</v>
      </c>
      <c r="O25" s="787">
        <f>'6'!O11</f>
        <v>2.4E-2</v>
      </c>
      <c r="P25" s="787">
        <f>'6'!P11</f>
        <v>2.9000000000000001E-2</v>
      </c>
      <c r="Q25" s="787">
        <f>'6'!Q11</f>
        <v>3.1E-2</v>
      </c>
      <c r="R25" s="787">
        <f>'6'!R11</f>
        <v>3.5000000000000003E-2</v>
      </c>
      <c r="S25" s="787">
        <f>'6'!S11</f>
        <v>3.9E-2</v>
      </c>
      <c r="T25" s="787">
        <f>'6'!T11</f>
        <v>0.193</v>
      </c>
      <c r="U25" s="787">
        <f>'6'!U11</f>
        <v>0.67649999999999999</v>
      </c>
      <c r="V25" s="787">
        <f>'6'!V11</f>
        <v>1.9056999999999999</v>
      </c>
      <c r="W25" s="787">
        <f>'6'!W11</f>
        <v>10.7957</v>
      </c>
      <c r="X25" s="787">
        <f>'6'!X11</f>
        <v>18.861699999999999</v>
      </c>
      <c r="Y25" s="787">
        <f>'6'!Y11</f>
        <v>21.5886</v>
      </c>
      <c r="Z25" s="787">
        <f>'6'!Z11</f>
        <v>22.3064</v>
      </c>
      <c r="AA25" s="787">
        <f>'6'!AA11</f>
        <v>22.9422</v>
      </c>
      <c r="AB25" s="787">
        <f>'6'!AB11</f>
        <v>22.104299999999999</v>
      </c>
      <c r="AC25" s="787">
        <f>'6'!AC11</f>
        <v>24.377700000000001</v>
      </c>
      <c r="AD25" s="787">
        <f>'6'!AD11</f>
        <v>22.6538</v>
      </c>
      <c r="AE25" s="787">
        <f>'6'!AE11</f>
        <v>23.6889</v>
      </c>
      <c r="AF25" s="787">
        <f>'6'!AF11</f>
        <v>24.941504000000002</v>
      </c>
      <c r="AG25" s="787">
        <f>'6'!AG11</f>
        <v>25.039000000000001</v>
      </c>
      <c r="AH25" s="787">
        <f>'6'!AH11</f>
        <v>28.121500000000001</v>
      </c>
      <c r="AI25" s="787">
        <f>'6'!AI11</f>
        <v>30.711099999999998</v>
      </c>
      <c r="AJ25" s="787">
        <f>'6'!AJ11</f>
        <v>36.668270498261883</v>
      </c>
    </row>
    <row r="26" spans="1:36">
      <c r="A26" s="781" t="str">
        <f>'6'!A12</f>
        <v>Geotermica</v>
      </c>
      <c r="B26" s="787">
        <f>'6'!B12</f>
        <v>3.222</v>
      </c>
      <c r="C26" s="787">
        <f>'6'!C12</f>
        <v>3.1819999999999999</v>
      </c>
      <c r="D26" s="787">
        <f>'6'!D12</f>
        <v>3.4590000000000001</v>
      </c>
      <c r="E26" s="787">
        <f>'6'!E12</f>
        <v>3.6669999999999998</v>
      </c>
      <c r="F26" s="787">
        <f>'6'!F12</f>
        <v>3.4173</v>
      </c>
      <c r="G26" s="787">
        <f>'6'!G12</f>
        <v>3.4356</v>
      </c>
      <c r="H26" s="787">
        <f>'6'!H12</f>
        <v>3.7624</v>
      </c>
      <c r="I26" s="787">
        <f>'6'!I12</f>
        <v>3.9051999999999998</v>
      </c>
      <c r="J26" s="787">
        <f>'6'!J12</f>
        <v>4.2137000000000002</v>
      </c>
      <c r="K26" s="787">
        <f>'6'!K12</f>
        <v>4.4026999999999994</v>
      </c>
      <c r="L26" s="787">
        <f>'6'!L12</f>
        <v>4.7051999999999996</v>
      </c>
      <c r="M26" s="787">
        <f>'6'!M12</f>
        <v>4.5066000000000006</v>
      </c>
      <c r="N26" s="787">
        <f>'6'!N12</f>
        <v>4.6623000000000001</v>
      </c>
      <c r="O26" s="787">
        <f>'6'!O12</f>
        <v>5.3404999999999996</v>
      </c>
      <c r="P26" s="787">
        <f>'6'!P12</f>
        <v>5.4373000000000005</v>
      </c>
      <c r="Q26" s="787">
        <f>'6'!Q12</f>
        <v>5.3244999999999996</v>
      </c>
      <c r="R26" s="787">
        <f>'6'!R12</f>
        <v>5.5273999999999992</v>
      </c>
      <c r="S26" s="787">
        <f>'6'!S12</f>
        <v>5.5691000000000006</v>
      </c>
      <c r="T26" s="787">
        <f>'6'!T12</f>
        <v>5.5202999999999998</v>
      </c>
      <c r="U26" s="787">
        <f>'6'!U12</f>
        <v>5.3418000000000001</v>
      </c>
      <c r="V26" s="787">
        <f>'6'!V12</f>
        <v>5.3758999999999997</v>
      </c>
      <c r="W26" s="787">
        <f>'6'!W12</f>
        <v>5.6543000000000001</v>
      </c>
      <c r="X26" s="787">
        <f>'6'!X12</f>
        <v>5.5916999999999994</v>
      </c>
      <c r="Y26" s="787">
        <f>'6'!Y12</f>
        <v>5.6592000000000002</v>
      </c>
      <c r="Z26" s="787">
        <f>'6'!Z12</f>
        <v>5.9163000000000006</v>
      </c>
      <c r="AA26" s="787">
        <f>'6'!AA12</f>
        <v>6.1849999999999996</v>
      </c>
      <c r="AB26" s="787">
        <f>'6'!AB12</f>
        <v>6.2886000000000006</v>
      </c>
      <c r="AC26" s="787">
        <f>'6'!AC12</f>
        <v>6.2012</v>
      </c>
      <c r="AD26" s="787">
        <f>'6'!AD12</f>
        <v>6.1053999999999995</v>
      </c>
      <c r="AE26" s="787">
        <f>'6'!AE12</f>
        <v>6.0748999999999995</v>
      </c>
      <c r="AF26" s="787">
        <f>'6'!AF12</f>
        <v>6.0261120000000004</v>
      </c>
      <c r="AG26" s="787">
        <f>'6'!AG12</f>
        <v>5.9138000000000002</v>
      </c>
      <c r="AH26" s="787">
        <f>'6'!AH12</f>
        <v>5.8369</v>
      </c>
      <c r="AI26" s="787">
        <f>'6'!AI12</f>
        <v>5.6921999999999997</v>
      </c>
      <c r="AJ26" s="787">
        <f>'6'!AJ12</f>
        <v>5.6418739277652374</v>
      </c>
    </row>
    <row r="27" spans="1:36">
      <c r="A27" s="781" t="str">
        <f>'6'!A13</f>
        <v>Bioenergie</v>
      </c>
      <c r="B27" s="787">
        <f>'6'!B13</f>
        <v>5.1499999999999997E-2</v>
      </c>
      <c r="C27" s="787">
        <f>'6'!C13</f>
        <v>0.10180000000000002</v>
      </c>
      <c r="D27" s="787">
        <f>'6'!D13</f>
        <v>9.1999999999999998E-2</v>
      </c>
      <c r="E27" s="787">
        <f>'6'!E13</f>
        <v>0.104</v>
      </c>
      <c r="F27" s="787">
        <f>'6'!F13</f>
        <v>0.19034999999999999</v>
      </c>
      <c r="G27" s="787">
        <f>'6'!G13</f>
        <v>0.3029</v>
      </c>
      <c r="H27" s="787">
        <f>'6'!H13</f>
        <v>0.48410000000000003</v>
      </c>
      <c r="I27" s="787">
        <f>'6'!I13</f>
        <v>0.69415000000000004</v>
      </c>
      <c r="J27" s="787">
        <f>'6'!J13</f>
        <v>0.99650000000000005</v>
      </c>
      <c r="K27" s="787">
        <f>'6'!K13</f>
        <v>1.4958</v>
      </c>
      <c r="L27" s="787">
        <f>'6'!L13</f>
        <v>1.5045500000000001</v>
      </c>
      <c r="M27" s="787">
        <f>'6'!M13</f>
        <v>1.9579500000000001</v>
      </c>
      <c r="N27" s="787">
        <f>'6'!N13</f>
        <v>2.7085500000000002</v>
      </c>
      <c r="O27" s="787">
        <f>'6'!O13</f>
        <v>3.5870500000000001</v>
      </c>
      <c r="P27" s="787">
        <f>'6'!P13</f>
        <v>4.4988999999999999</v>
      </c>
      <c r="Q27" s="787">
        <f>'6'!Q13</f>
        <v>4.8450499999999996</v>
      </c>
      <c r="R27" s="787">
        <f>'6'!R13</f>
        <v>5.2863000000000007</v>
      </c>
      <c r="S27" s="787">
        <f>'6'!S13</f>
        <v>5.4412500000000001</v>
      </c>
      <c r="T27" s="787">
        <f>'6'!T13</f>
        <v>5.9663500000000003</v>
      </c>
      <c r="U27" s="787">
        <f>'6'!U13</f>
        <v>7.5567199999999994</v>
      </c>
      <c r="V27" s="787">
        <f>'6'!V13</f>
        <v>9.4400899999999996</v>
      </c>
      <c r="W27" s="787">
        <f>'6'!W13</f>
        <v>10.8324</v>
      </c>
      <c r="X27" s="787">
        <f>'6'!X13</f>
        <v>12.487</v>
      </c>
      <c r="Y27" s="787">
        <f>'6'!Y13</f>
        <v>17.090199999999999</v>
      </c>
      <c r="Z27" s="787">
        <f>'6'!Z13</f>
        <v>18.732599999999998</v>
      </c>
      <c r="AA27" s="787">
        <f>'6'!AA13</f>
        <v>19.395700000000001</v>
      </c>
      <c r="AB27" s="787">
        <f>'6'!AB13</f>
        <v>19.508599999999998</v>
      </c>
      <c r="AC27" s="787">
        <f>'6'!AC13</f>
        <v>19.3782</v>
      </c>
      <c r="AD27" s="787">
        <f>'6'!AD13</f>
        <v>19.1526</v>
      </c>
      <c r="AE27" s="787">
        <f>'6'!AE13</f>
        <v>19.562699999999996</v>
      </c>
      <c r="AF27" s="787">
        <f>'6'!AF13</f>
        <v>19.633800000000001</v>
      </c>
      <c r="AG27" s="787">
        <f>'6'!AG13</f>
        <v>19.070779999999999</v>
      </c>
      <c r="AH27" s="787">
        <f>'6'!AH13</f>
        <v>17.6158</v>
      </c>
      <c r="AI27" s="787">
        <f>'6'!AI13</f>
        <v>16.017499999999998</v>
      </c>
      <c r="AJ27" s="787">
        <f>'6'!AJ13</f>
        <v>16.017499999999998</v>
      </c>
    </row>
    <row r="28" spans="1:36">
      <c r="A28" s="782" t="s">
        <v>601</v>
      </c>
      <c r="B28" s="788">
        <f>SUM(B16:B27)</f>
        <v>216.60000000000002</v>
      </c>
      <c r="C28" s="788">
        <f t="shared" ref="C28:AJ28" si="12">SUM(C16:C27)</f>
        <v>221.81649999999996</v>
      </c>
      <c r="D28" s="788">
        <f t="shared" si="12"/>
        <v>226.25400000000002</v>
      </c>
      <c r="E28" s="788">
        <f t="shared" si="12"/>
        <v>222.80200000000002</v>
      </c>
      <c r="F28" s="788">
        <f t="shared" si="12"/>
        <v>231.81270000000001</v>
      </c>
      <c r="G28" s="788">
        <f t="shared" si="12"/>
        <v>241.48829999999995</v>
      </c>
      <c r="H28" s="788">
        <f t="shared" si="12"/>
        <v>244.43170000000003</v>
      </c>
      <c r="I28" s="788">
        <f t="shared" si="12"/>
        <v>251.46980000000002</v>
      </c>
      <c r="J28" s="788">
        <f t="shared" si="12"/>
        <v>259.79399999999998</v>
      </c>
      <c r="K28" s="788">
        <f t="shared" si="12"/>
        <v>265.65919999999994</v>
      </c>
      <c r="L28" s="788">
        <f t="shared" si="12"/>
        <v>276.64229999999998</v>
      </c>
      <c r="M28" s="788">
        <f t="shared" si="12"/>
        <v>279.0086</v>
      </c>
      <c r="N28" s="788">
        <f t="shared" si="12"/>
        <v>285.27680000000004</v>
      </c>
      <c r="O28" s="788">
        <f t="shared" si="12"/>
        <v>293.88389999999998</v>
      </c>
      <c r="P28" s="788">
        <f t="shared" si="12"/>
        <v>303.34819999999996</v>
      </c>
      <c r="Q28" s="788">
        <f t="shared" si="12"/>
        <v>303.6979</v>
      </c>
      <c r="R28" s="788">
        <f t="shared" si="12"/>
        <v>314.12289999999996</v>
      </c>
      <c r="S28" s="788">
        <f t="shared" si="12"/>
        <v>313.88780000000003</v>
      </c>
      <c r="T28" s="788">
        <f t="shared" si="12"/>
        <v>319.12960000000004</v>
      </c>
      <c r="U28" s="788">
        <f t="shared" si="12"/>
        <v>292.64259999999996</v>
      </c>
      <c r="V28" s="788">
        <f t="shared" si="12"/>
        <v>302.06208000000004</v>
      </c>
      <c r="W28" s="788">
        <f t="shared" si="12"/>
        <v>302.58045999999996</v>
      </c>
      <c r="X28" s="788">
        <f t="shared" si="12"/>
        <v>299.27620000000002</v>
      </c>
      <c r="Y28" s="788">
        <f t="shared" si="12"/>
        <v>289.8039</v>
      </c>
      <c r="Z28" s="788">
        <f t="shared" si="12"/>
        <v>279.82820000000004</v>
      </c>
      <c r="AA28" s="788">
        <f t="shared" si="12"/>
        <v>282.99389999999994</v>
      </c>
      <c r="AB28" s="788">
        <f t="shared" si="12"/>
        <v>289.76819999999998</v>
      </c>
      <c r="AC28" s="788">
        <f t="shared" si="12"/>
        <v>295.82999317200006</v>
      </c>
      <c r="AD28" s="788">
        <f t="shared" si="12"/>
        <v>289.70845972702</v>
      </c>
      <c r="AE28" s="788">
        <f t="shared" si="12"/>
        <v>293.85318719754002</v>
      </c>
      <c r="AF28" s="788">
        <f t="shared" si="12"/>
        <v>280.53101400000003</v>
      </c>
      <c r="AG28" s="788">
        <f t="shared" si="12"/>
        <v>289.06950605539998</v>
      </c>
      <c r="AH28" s="788">
        <f t="shared" si="12"/>
        <v>283.96142303983004</v>
      </c>
      <c r="AI28" s="788">
        <f t="shared" ref="AI28" si="13">SUM(AI16:AI27)</f>
        <v>264.69982462643901</v>
      </c>
      <c r="AJ28" s="788">
        <f t="shared" si="12"/>
        <v>271.68984995435221</v>
      </c>
    </row>
    <row r="29" spans="1:36">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row>
    <row r="30" spans="1:36">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row>
    <row r="31" spans="1:36">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row>
    <row r="33" spans="2:27">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row>
    <row r="34" spans="2:27">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row>
    <row r="35" spans="2:27">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2"/>
      <c r="AA35" s="132"/>
    </row>
    <row r="37" spans="2:27">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row>
  </sheetData>
  <mergeCells count="1">
    <mergeCell ref="A4:A5"/>
  </mergeCells>
  <hyperlinks>
    <hyperlink ref="A1" location="Indice!A1" display="Torna indietro"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dimension ref="A1:I25"/>
  <sheetViews>
    <sheetView showGridLines="0" zoomScaleNormal="100" workbookViewId="0">
      <selection activeCell="O30" sqref="O30"/>
    </sheetView>
  </sheetViews>
  <sheetFormatPr defaultRowHeight="14.4"/>
  <sheetData>
    <row r="1" spans="1:2" ht="15.6">
      <c r="A1" s="608" t="s">
        <v>57</v>
      </c>
      <c r="B1" s="608"/>
    </row>
    <row r="22" spans="1:9" ht="15.6">
      <c r="A22" s="1" t="s">
        <v>618</v>
      </c>
    </row>
    <row r="25" spans="1:9" ht="15.6">
      <c r="B25" s="1"/>
      <c r="C25" s="1"/>
      <c r="D25" s="1"/>
      <c r="E25" s="1"/>
      <c r="F25" s="1"/>
      <c r="G25" s="1"/>
      <c r="H25" s="1"/>
      <c r="I25" s="1"/>
    </row>
  </sheetData>
  <hyperlinks>
    <hyperlink ref="A1" location="Indice!A1" display="Torna indietro" xr:uid="{00000000-0004-0000-03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dimension ref="A1:J23"/>
  <sheetViews>
    <sheetView showGridLines="0" workbookViewId="0">
      <selection activeCell="O30" sqref="O30"/>
    </sheetView>
  </sheetViews>
  <sheetFormatPr defaultRowHeight="14.4"/>
  <sheetData>
    <row r="1" spans="1:2" ht="15.6">
      <c r="A1" s="608" t="s">
        <v>57</v>
      </c>
      <c r="B1" s="608"/>
    </row>
    <row r="23" spans="1:10" ht="15.6">
      <c r="A23" s="633" t="s">
        <v>654</v>
      </c>
      <c r="B23" s="634"/>
      <c r="C23" s="634"/>
      <c r="D23" s="634"/>
      <c r="E23" s="634"/>
      <c r="F23" s="634"/>
      <c r="G23" s="634"/>
      <c r="H23" s="634"/>
      <c r="I23" s="634"/>
      <c r="J23" s="634"/>
    </row>
  </sheetData>
  <hyperlinks>
    <hyperlink ref="A1" location="Indice!A1" display="Torna indietro" xr:uid="{00000000-0004-0000-04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8"/>
  <dimension ref="A1:B25"/>
  <sheetViews>
    <sheetView showGridLines="0" workbookViewId="0">
      <selection activeCell="O30" sqref="O30"/>
    </sheetView>
  </sheetViews>
  <sheetFormatPr defaultRowHeight="14.4"/>
  <sheetData>
    <row r="1" spans="1:2" ht="15.6">
      <c r="A1" s="608" t="s">
        <v>57</v>
      </c>
      <c r="B1" s="608"/>
    </row>
    <row r="25" spans="1:1" ht="15.6">
      <c r="A25" s="1" t="s">
        <v>295</v>
      </c>
    </row>
  </sheetData>
  <hyperlinks>
    <hyperlink ref="A1" location="Indice!A1" display="Torna indietro" xr:uid="{00000000-0004-0000-05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9"/>
  <dimension ref="A1:Q37"/>
  <sheetViews>
    <sheetView showGridLines="0" topLeftCell="A4" zoomScale="85" zoomScaleNormal="85" workbookViewId="0">
      <selection activeCell="O30" sqref="O30"/>
    </sheetView>
  </sheetViews>
  <sheetFormatPr defaultRowHeight="14.4"/>
  <sheetData>
    <row r="1" spans="1:2" ht="15.6">
      <c r="A1" s="608" t="s">
        <v>57</v>
      </c>
      <c r="B1" s="608"/>
    </row>
    <row r="36" spans="1:17" ht="15.6">
      <c r="A36" s="861" t="s">
        <v>619</v>
      </c>
      <c r="B36" s="861"/>
      <c r="C36" s="861"/>
      <c r="D36" s="861"/>
      <c r="E36" s="861"/>
      <c r="F36" s="861"/>
      <c r="G36" s="861"/>
      <c r="H36" s="861"/>
      <c r="I36" s="861"/>
      <c r="J36" s="861"/>
      <c r="K36" s="861"/>
      <c r="L36" s="861"/>
      <c r="M36" s="861"/>
      <c r="N36" s="861"/>
      <c r="O36" s="861"/>
      <c r="P36" s="861"/>
      <c r="Q36" s="861"/>
    </row>
    <row r="37" spans="1:17" ht="23.55" customHeight="1"/>
  </sheetData>
  <mergeCells count="1">
    <mergeCell ref="A36:Q36"/>
  </mergeCells>
  <hyperlinks>
    <hyperlink ref="A1" location="Indice!A1" display="Torna indietro" xr:uid="{00000000-0004-0000-06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0"/>
  <dimension ref="A1:AJ70"/>
  <sheetViews>
    <sheetView showGridLines="0" zoomScale="85" zoomScaleNormal="85" workbookViewId="0">
      <pane xSplit="1" ySplit="5" topLeftCell="Q6" activePane="bottomRight" state="frozen"/>
      <selection activeCell="O30" sqref="O30"/>
      <selection pane="topRight" activeCell="O30" sqref="O30"/>
      <selection pane="bottomLeft" activeCell="O30" sqref="O30"/>
      <selection pane="bottomRight" activeCell="O30" sqref="O30"/>
    </sheetView>
  </sheetViews>
  <sheetFormatPr defaultRowHeight="14.4"/>
  <cols>
    <col min="1" max="1" width="42.77734375" customWidth="1"/>
    <col min="2" max="2" width="6.88671875" bestFit="1" customWidth="1"/>
    <col min="3" max="6" width="0.21875" customWidth="1"/>
    <col min="7" max="7" width="7.33203125" bestFit="1" customWidth="1"/>
    <col min="8" max="11" width="0.21875" customWidth="1"/>
    <col min="12" max="12" width="7.33203125" bestFit="1" customWidth="1"/>
    <col min="13" max="16" width="0.21875" customWidth="1"/>
    <col min="17" max="17" width="7.33203125" bestFit="1" customWidth="1"/>
    <col min="18" max="21" width="0.21875" customWidth="1"/>
    <col min="22" max="22" width="7.33203125" bestFit="1" customWidth="1"/>
    <col min="23" max="26" width="0.21875" customWidth="1"/>
    <col min="27" max="27" width="8" bestFit="1" customWidth="1"/>
    <col min="28" max="29" width="0.21875" customWidth="1"/>
    <col min="30" max="31" width="0.21875" style="348" customWidth="1"/>
    <col min="32" max="36" width="8" style="348" bestFit="1" customWidth="1"/>
  </cols>
  <sheetData>
    <row r="1" spans="1:36" ht="15.6">
      <c r="A1" s="608" t="s">
        <v>57</v>
      </c>
      <c r="B1" s="608"/>
    </row>
    <row r="2" spans="1:36">
      <c r="L2" s="133"/>
    </row>
    <row r="3" spans="1:36" s="12" customFormat="1" ht="15.6">
      <c r="A3" s="47" t="s">
        <v>620</v>
      </c>
      <c r="AD3" s="47"/>
      <c r="AE3" s="47"/>
      <c r="AF3" s="47"/>
      <c r="AG3" s="47"/>
      <c r="AH3" s="47"/>
      <c r="AI3" s="47"/>
      <c r="AJ3" s="47"/>
    </row>
    <row r="4" spans="1:36" s="12" customFormat="1" ht="16.2">
      <c r="A4" s="864" t="s">
        <v>54</v>
      </c>
      <c r="B4" s="48">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v>2023</v>
      </c>
      <c r="AJ4" s="352" t="s">
        <v>597</v>
      </c>
    </row>
    <row r="5" spans="1:36" s="12" customFormat="1" ht="16.2">
      <c r="A5" s="865"/>
      <c r="B5" s="74" t="s">
        <v>129</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c r="AJ5" s="349"/>
    </row>
    <row r="6" spans="1:36" s="12" customFormat="1" ht="16.2">
      <c r="A6" s="48" t="s">
        <v>1</v>
      </c>
      <c r="B6" s="591">
        <v>31.626000000000001</v>
      </c>
      <c r="C6" s="591">
        <v>42.2395</v>
      </c>
      <c r="D6" s="591">
        <v>42.2</v>
      </c>
      <c r="E6" s="591">
        <v>41.424999999999997</v>
      </c>
      <c r="F6" s="591">
        <v>44.658099999999997</v>
      </c>
      <c r="G6" s="591">
        <v>37.780800000000006</v>
      </c>
      <c r="H6" s="591">
        <v>42.035599999999995</v>
      </c>
      <c r="I6" s="591">
        <v>41.599800000000002</v>
      </c>
      <c r="J6" s="591">
        <v>41.213600000000007</v>
      </c>
      <c r="K6" s="591">
        <v>45.357999999999997</v>
      </c>
      <c r="L6" s="591">
        <v>44.2</v>
      </c>
      <c r="M6" s="591">
        <v>46.810400000000001</v>
      </c>
      <c r="N6" s="591">
        <v>39.519300000000001</v>
      </c>
      <c r="O6" s="591">
        <v>36.668999999999997</v>
      </c>
      <c r="P6" s="591">
        <v>42.337799999999994</v>
      </c>
      <c r="Q6" s="591">
        <v>36.066699999999997</v>
      </c>
      <c r="R6" s="591">
        <v>36.994399999999999</v>
      </c>
      <c r="S6" s="591">
        <v>32.815199999999997</v>
      </c>
      <c r="T6" s="591">
        <v>41.622999999999998</v>
      </c>
      <c r="U6" s="591">
        <v>49.137500000000003</v>
      </c>
      <c r="V6" s="591">
        <v>51.116779999999999</v>
      </c>
      <c r="W6" s="591">
        <v>45.822660000000006</v>
      </c>
      <c r="X6" s="591">
        <v>41.874899999999997</v>
      </c>
      <c r="Y6" s="591">
        <v>52.773400000000002</v>
      </c>
      <c r="Z6" s="591">
        <v>58.545400000000001</v>
      </c>
      <c r="AA6" s="591">
        <v>45.537300000000002</v>
      </c>
      <c r="AB6" s="591">
        <v>42.431800000000003</v>
      </c>
      <c r="AC6" s="591">
        <v>36.198699999999995</v>
      </c>
      <c r="AD6" s="591">
        <v>48.786539999999995</v>
      </c>
      <c r="AE6" s="591">
        <v>46.3185</v>
      </c>
      <c r="AF6" s="591">
        <v>47.55178432772005</v>
      </c>
      <c r="AG6" s="591">
        <v>45.388100000000009</v>
      </c>
      <c r="AH6" s="591">
        <v>28.397599999999997</v>
      </c>
      <c r="AI6" s="591">
        <v>40.517300000000006</v>
      </c>
      <c r="AJ6" s="593">
        <v>52.949675057414986</v>
      </c>
    </row>
    <row r="7" spans="1:36" s="12" customFormat="1" ht="15.6">
      <c r="A7" s="585" t="s">
        <v>443</v>
      </c>
      <c r="B7" s="594">
        <v>0</v>
      </c>
      <c r="C7" s="594">
        <v>1.3862999999999999</v>
      </c>
      <c r="D7" s="594">
        <v>0</v>
      </c>
      <c r="E7" s="594">
        <v>0</v>
      </c>
      <c r="F7" s="594">
        <v>1.6333</v>
      </c>
      <c r="G7" s="594">
        <v>1.4112</v>
      </c>
      <c r="H7" s="594">
        <v>1.6495</v>
      </c>
      <c r="I7" s="594">
        <v>1.6273</v>
      </c>
      <c r="J7" s="594">
        <v>1.7181999999999999</v>
      </c>
      <c r="K7" s="594">
        <v>1.7619</v>
      </c>
      <c r="L7" s="594">
        <v>1.5529999999999999</v>
      </c>
      <c r="M7" s="594">
        <v>1.6677999999999999</v>
      </c>
      <c r="N7" s="594">
        <v>1.6035999999999999</v>
      </c>
      <c r="O7" s="594">
        <v>1.3</v>
      </c>
      <c r="P7" s="594">
        <v>1.7313000000000001</v>
      </c>
      <c r="Q7" s="594">
        <v>1.5257000000000001</v>
      </c>
      <c r="R7" s="594">
        <v>1.5209000000000001</v>
      </c>
      <c r="S7" s="594">
        <v>1.4157</v>
      </c>
      <c r="T7" s="594">
        <v>1.7697000000000001</v>
      </c>
      <c r="U7" s="594">
        <v>1.9607000000000001</v>
      </c>
      <c r="V7" s="594">
        <v>2.2453400000000001</v>
      </c>
      <c r="W7" s="594">
        <v>2.1899199999999999</v>
      </c>
      <c r="X7" s="594">
        <v>2.0848</v>
      </c>
      <c r="Y7" s="594">
        <v>2.63585</v>
      </c>
      <c r="Z7" s="594">
        <v>3.1483000000000003</v>
      </c>
      <c r="AA7" s="594">
        <v>2.5562</v>
      </c>
      <c r="AB7" s="594">
        <v>2.6389</v>
      </c>
      <c r="AC7" s="594">
        <v>2.3279999999999998</v>
      </c>
      <c r="AD7" s="594">
        <v>3.0362399999999998</v>
      </c>
      <c r="AE7" s="594">
        <v>3.0379</v>
      </c>
      <c r="AF7" s="594">
        <v>3.1613000000000002</v>
      </c>
      <c r="AG7" s="594">
        <v>3.0879000000000003</v>
      </c>
      <c r="AH7" s="594">
        <v>2.0861000000000001</v>
      </c>
      <c r="AI7" s="594">
        <v>2.9449999999999998</v>
      </c>
      <c r="AJ7" s="596">
        <v>0</v>
      </c>
    </row>
    <row r="8" spans="1:36" s="12" customFormat="1" ht="15.6">
      <c r="A8" s="585" t="s">
        <v>444</v>
      </c>
      <c r="B8" s="594">
        <v>0</v>
      </c>
      <c r="C8" s="594">
        <v>6.5145</v>
      </c>
      <c r="D8" s="594">
        <v>0</v>
      </c>
      <c r="E8" s="594">
        <v>0</v>
      </c>
      <c r="F8" s="594">
        <v>7.1829000000000001</v>
      </c>
      <c r="G8" s="594">
        <v>6.0291000000000006</v>
      </c>
      <c r="H8" s="594">
        <v>7.2050000000000001</v>
      </c>
      <c r="I8" s="594">
        <v>6.4971000000000005</v>
      </c>
      <c r="J8" s="594">
        <v>6.6025</v>
      </c>
      <c r="K8" s="594">
        <v>6.8398000000000003</v>
      </c>
      <c r="L8" s="594">
        <v>6.577</v>
      </c>
      <c r="M8" s="594">
        <v>6.9888000000000003</v>
      </c>
      <c r="N8" s="594">
        <v>6.4438999999999993</v>
      </c>
      <c r="O8" s="594">
        <v>5.173</v>
      </c>
      <c r="P8" s="594">
        <v>7.1278000000000006</v>
      </c>
      <c r="Q8" s="594">
        <v>6.0904999999999996</v>
      </c>
      <c r="R8" s="594">
        <v>6.3541000000000007</v>
      </c>
      <c r="S8" s="594">
        <v>5.6843999999999992</v>
      </c>
      <c r="T8" s="594">
        <v>7.3896999999999995</v>
      </c>
      <c r="U8" s="594">
        <v>8.4217000000000013</v>
      </c>
      <c r="V8" s="594">
        <v>8.7116399999999992</v>
      </c>
      <c r="W8" s="594">
        <v>7.8575200000000001</v>
      </c>
      <c r="X8" s="594">
        <v>7.3244999999999996</v>
      </c>
      <c r="Y8" s="594">
        <v>9.3501499999999993</v>
      </c>
      <c r="Z8" s="594">
        <v>10.9931</v>
      </c>
      <c r="AA8" s="594">
        <v>8.3082000000000011</v>
      </c>
      <c r="AB8" s="594">
        <v>8.1752000000000002</v>
      </c>
      <c r="AC8" s="594">
        <v>6.9791999999999996</v>
      </c>
      <c r="AD8" s="594">
        <v>9.0841000000000012</v>
      </c>
      <c r="AE8" s="594">
        <v>8.7227000000000015</v>
      </c>
      <c r="AF8" s="594">
        <v>9.0337000000000014</v>
      </c>
      <c r="AG8" s="594">
        <v>8.5008999999999997</v>
      </c>
      <c r="AH8" s="594">
        <v>5.2543999999999995</v>
      </c>
      <c r="AI8" s="594">
        <v>9.2797999999999998</v>
      </c>
      <c r="AJ8" s="596">
        <v>0</v>
      </c>
    </row>
    <row r="9" spans="1:36" s="12" customFormat="1" ht="15.6">
      <c r="A9" s="585" t="s">
        <v>445</v>
      </c>
      <c r="B9" s="594">
        <v>0</v>
      </c>
      <c r="C9" s="594">
        <v>34.338699999999996</v>
      </c>
      <c r="D9" s="594">
        <v>0</v>
      </c>
      <c r="E9" s="594">
        <v>0</v>
      </c>
      <c r="F9" s="594">
        <v>35.841900000000003</v>
      </c>
      <c r="G9" s="594">
        <v>30.340499999999999</v>
      </c>
      <c r="H9" s="594">
        <v>33.181100000000001</v>
      </c>
      <c r="I9" s="594">
        <v>33.4754</v>
      </c>
      <c r="J9" s="594">
        <v>32.892900000000004</v>
      </c>
      <c r="K9" s="594">
        <v>36.756300000000003</v>
      </c>
      <c r="L9" s="594">
        <v>36.07</v>
      </c>
      <c r="M9" s="594">
        <v>38.153800000000004</v>
      </c>
      <c r="N9" s="594">
        <v>31.471799999999998</v>
      </c>
      <c r="O9" s="594">
        <v>30.196000000000002</v>
      </c>
      <c r="P9" s="594">
        <v>33.478699999999996</v>
      </c>
      <c r="Q9" s="594">
        <v>28.450500000000002</v>
      </c>
      <c r="R9" s="594">
        <v>29.119400000000002</v>
      </c>
      <c r="S9" s="594">
        <v>25.7151</v>
      </c>
      <c r="T9" s="594">
        <v>32.4636</v>
      </c>
      <c r="U9" s="594">
        <v>38.755099999999999</v>
      </c>
      <c r="V9" s="594">
        <v>40.159800000000004</v>
      </c>
      <c r="W9" s="594">
        <v>35.775220000000004</v>
      </c>
      <c r="X9" s="594">
        <v>32.465600000000002</v>
      </c>
      <c r="Y9" s="594">
        <v>40.787399999999998</v>
      </c>
      <c r="Z9" s="594">
        <v>44.404000000000003</v>
      </c>
      <c r="AA9" s="594">
        <v>34.672899999999998</v>
      </c>
      <c r="AB9" s="594">
        <v>31.617699999999999</v>
      </c>
      <c r="AC9" s="594">
        <v>26.891500000000001</v>
      </c>
      <c r="AD9" s="594">
        <v>36.666199999999996</v>
      </c>
      <c r="AE9" s="594">
        <v>34.557900000000004</v>
      </c>
      <c r="AF9" s="594">
        <v>35.35678432772005</v>
      </c>
      <c r="AG9" s="594">
        <v>33.799300000000002</v>
      </c>
      <c r="AH9" s="594">
        <v>21.057099999999998</v>
      </c>
      <c r="AI9" s="594">
        <v>28.2925</v>
      </c>
      <c r="AJ9" s="596">
        <v>0</v>
      </c>
    </row>
    <row r="10" spans="1:36" s="12" customFormat="1" ht="15.6">
      <c r="A10" s="48" t="s">
        <v>55</v>
      </c>
      <c r="B10" s="591">
        <v>2E-3</v>
      </c>
      <c r="C10" s="591">
        <v>3.0000000000000001E-3</v>
      </c>
      <c r="D10" s="591">
        <v>2E-3</v>
      </c>
      <c r="E10" s="591">
        <v>4.0000000000000001E-3</v>
      </c>
      <c r="F10" s="591">
        <v>6.3E-3</v>
      </c>
      <c r="G10" s="591">
        <v>9.9000000000000008E-3</v>
      </c>
      <c r="H10" s="591">
        <v>3.27E-2</v>
      </c>
      <c r="I10" s="591">
        <v>0.1178</v>
      </c>
      <c r="J10" s="591">
        <v>0.23169999999999999</v>
      </c>
      <c r="K10" s="591">
        <v>0.40250000000000002</v>
      </c>
      <c r="L10" s="591">
        <v>0.56310000000000004</v>
      </c>
      <c r="M10" s="591">
        <v>1.1785999999999999</v>
      </c>
      <c r="N10" s="591">
        <v>1.4042000000000001</v>
      </c>
      <c r="O10" s="591">
        <v>1.4584000000000001</v>
      </c>
      <c r="P10" s="591">
        <v>1.8465</v>
      </c>
      <c r="Q10" s="591">
        <v>2.3433999999999999</v>
      </c>
      <c r="R10" s="591">
        <v>2.9706999999999999</v>
      </c>
      <c r="S10" s="591">
        <v>4.0343999999999998</v>
      </c>
      <c r="T10" s="591">
        <v>4.8613</v>
      </c>
      <c r="U10" s="591">
        <v>6.5428999999999995</v>
      </c>
      <c r="V10" s="591">
        <v>9.1258999999999997</v>
      </c>
      <c r="W10" s="591">
        <v>9.8563999999999989</v>
      </c>
      <c r="X10" s="591">
        <v>13.4071</v>
      </c>
      <c r="Y10" s="591">
        <v>14.897</v>
      </c>
      <c r="Z10" s="591">
        <v>15.1783</v>
      </c>
      <c r="AA10" s="591">
        <v>14.8439</v>
      </c>
      <c r="AB10" s="591">
        <v>17.688700000000001</v>
      </c>
      <c r="AC10" s="591">
        <v>17.741900000000001</v>
      </c>
      <c r="AD10" s="591">
        <v>17.7164</v>
      </c>
      <c r="AE10" s="591">
        <v>20.202000000000002</v>
      </c>
      <c r="AF10" s="591">
        <v>18.761557</v>
      </c>
      <c r="AG10" s="591">
        <v>20.927299999999999</v>
      </c>
      <c r="AH10" s="591">
        <v>20.494199999999999</v>
      </c>
      <c r="AI10" s="591">
        <v>23.640499999999999</v>
      </c>
      <c r="AJ10" s="597">
        <v>22.312927334160218</v>
      </c>
    </row>
    <row r="11" spans="1:36" s="12" customFormat="1" ht="15.6">
      <c r="A11" s="48" t="s">
        <v>56</v>
      </c>
      <c r="B11" s="591">
        <v>4.0000000000000001E-3</v>
      </c>
      <c r="C11" s="591">
        <v>5.0000000000000001E-3</v>
      </c>
      <c r="D11" s="591">
        <v>8.9999999999999993E-3</v>
      </c>
      <c r="E11" s="591">
        <v>1.0999999999999999E-2</v>
      </c>
      <c r="F11" s="591">
        <v>1.0999999999999999E-2</v>
      </c>
      <c r="G11" s="591">
        <v>1.2999999999999999E-2</v>
      </c>
      <c r="H11" s="591">
        <v>1.4E-2</v>
      </c>
      <c r="I11" s="591">
        <v>1.4999999999999999E-2</v>
      </c>
      <c r="J11" s="591">
        <v>1.6E-2</v>
      </c>
      <c r="K11" s="591">
        <v>1.7000000000000001E-2</v>
      </c>
      <c r="L11" s="591">
        <v>1.7999999999999999E-2</v>
      </c>
      <c r="M11" s="591">
        <v>1.9E-2</v>
      </c>
      <c r="N11" s="591">
        <v>2.1000000000000001E-2</v>
      </c>
      <c r="O11" s="591">
        <v>2.4E-2</v>
      </c>
      <c r="P11" s="591">
        <v>2.9000000000000001E-2</v>
      </c>
      <c r="Q11" s="591">
        <v>3.1E-2</v>
      </c>
      <c r="R11" s="591">
        <v>3.5000000000000003E-2</v>
      </c>
      <c r="S11" s="591">
        <v>3.9E-2</v>
      </c>
      <c r="T11" s="591">
        <v>0.193</v>
      </c>
      <c r="U11" s="591">
        <v>0.67649999999999999</v>
      </c>
      <c r="V11" s="591">
        <v>1.9056999999999999</v>
      </c>
      <c r="W11" s="591">
        <v>10.7957</v>
      </c>
      <c r="X11" s="591">
        <v>18.861699999999999</v>
      </c>
      <c r="Y11" s="591">
        <v>21.5886</v>
      </c>
      <c r="Z11" s="591">
        <v>22.3064</v>
      </c>
      <c r="AA11" s="591">
        <v>22.9422</v>
      </c>
      <c r="AB11" s="591">
        <v>22.104299999999999</v>
      </c>
      <c r="AC11" s="591">
        <v>24.377700000000001</v>
      </c>
      <c r="AD11" s="591">
        <v>22.6538</v>
      </c>
      <c r="AE11" s="591">
        <v>23.6889</v>
      </c>
      <c r="AF11" s="591">
        <v>24.941504000000002</v>
      </c>
      <c r="AG11" s="591">
        <v>25.039000000000001</v>
      </c>
      <c r="AH11" s="591">
        <v>28.121500000000001</v>
      </c>
      <c r="AI11" s="591">
        <v>30.711099999999998</v>
      </c>
      <c r="AJ11" s="597">
        <v>36.668270498261883</v>
      </c>
    </row>
    <row r="12" spans="1:36" s="12" customFormat="1" ht="15.6">
      <c r="A12" s="48" t="s">
        <v>2</v>
      </c>
      <c r="B12" s="591">
        <v>3.222</v>
      </c>
      <c r="C12" s="591">
        <v>3.1819999999999999</v>
      </c>
      <c r="D12" s="591">
        <v>3.4590000000000001</v>
      </c>
      <c r="E12" s="591">
        <v>3.6669999999999998</v>
      </c>
      <c r="F12" s="591">
        <v>3.4173</v>
      </c>
      <c r="G12" s="591">
        <v>3.4356</v>
      </c>
      <c r="H12" s="591">
        <v>3.7624</v>
      </c>
      <c r="I12" s="591">
        <v>3.9051999999999998</v>
      </c>
      <c r="J12" s="591">
        <v>4.2137000000000002</v>
      </c>
      <c r="K12" s="591">
        <v>4.4026999999999994</v>
      </c>
      <c r="L12" s="591">
        <v>4.7051999999999996</v>
      </c>
      <c r="M12" s="591">
        <v>4.5066000000000006</v>
      </c>
      <c r="N12" s="591">
        <v>4.6623000000000001</v>
      </c>
      <c r="O12" s="591">
        <v>5.3404999999999996</v>
      </c>
      <c r="P12" s="591">
        <v>5.4373000000000005</v>
      </c>
      <c r="Q12" s="591">
        <v>5.3244999999999996</v>
      </c>
      <c r="R12" s="591">
        <v>5.5273999999999992</v>
      </c>
      <c r="S12" s="591">
        <v>5.5691000000000006</v>
      </c>
      <c r="T12" s="591">
        <v>5.5202999999999998</v>
      </c>
      <c r="U12" s="591">
        <v>5.3418000000000001</v>
      </c>
      <c r="V12" s="591">
        <v>5.3758999999999997</v>
      </c>
      <c r="W12" s="591">
        <v>5.6543000000000001</v>
      </c>
      <c r="X12" s="591">
        <v>5.5916999999999994</v>
      </c>
      <c r="Y12" s="591">
        <v>5.6592000000000002</v>
      </c>
      <c r="Z12" s="591">
        <v>5.9163000000000006</v>
      </c>
      <c r="AA12" s="591">
        <v>6.1849999999999996</v>
      </c>
      <c r="AB12" s="591">
        <v>6.2886000000000006</v>
      </c>
      <c r="AC12" s="591">
        <v>6.2012</v>
      </c>
      <c r="AD12" s="591">
        <v>6.1053999999999995</v>
      </c>
      <c r="AE12" s="591">
        <v>6.0748999999999995</v>
      </c>
      <c r="AF12" s="591">
        <v>6.0261120000000004</v>
      </c>
      <c r="AG12" s="591">
        <v>5.9138000000000002</v>
      </c>
      <c r="AH12" s="591">
        <v>5.8369</v>
      </c>
      <c r="AI12" s="591">
        <v>5.6921999999999997</v>
      </c>
      <c r="AJ12" s="597">
        <v>5.6418739277652374</v>
      </c>
    </row>
    <row r="13" spans="1:36" s="12" customFormat="1" ht="15.6">
      <c r="A13" s="48" t="s">
        <v>163</v>
      </c>
      <c r="B13" s="591">
        <v>5.1499999999999997E-2</v>
      </c>
      <c r="C13" s="591">
        <v>0.10180000000000002</v>
      </c>
      <c r="D13" s="591">
        <v>9.1999999999999998E-2</v>
      </c>
      <c r="E13" s="591">
        <v>0.104</v>
      </c>
      <c r="F13" s="591">
        <v>0.19034999999999999</v>
      </c>
      <c r="G13" s="591">
        <v>0.3029</v>
      </c>
      <c r="H13" s="591">
        <v>0.48410000000000003</v>
      </c>
      <c r="I13" s="591">
        <v>0.69415000000000004</v>
      </c>
      <c r="J13" s="591">
        <v>0.99650000000000005</v>
      </c>
      <c r="K13" s="591">
        <v>1.4958</v>
      </c>
      <c r="L13" s="591">
        <v>1.5045500000000001</v>
      </c>
      <c r="M13" s="591">
        <v>1.9579500000000001</v>
      </c>
      <c r="N13" s="591">
        <v>2.7085500000000002</v>
      </c>
      <c r="O13" s="591">
        <v>3.5870500000000001</v>
      </c>
      <c r="P13" s="591">
        <v>4.4988999999999999</v>
      </c>
      <c r="Q13" s="591">
        <v>4.8450499999999996</v>
      </c>
      <c r="R13" s="591">
        <v>5.2863000000000007</v>
      </c>
      <c r="S13" s="591">
        <v>5.4412500000000001</v>
      </c>
      <c r="T13" s="591">
        <v>5.9663500000000003</v>
      </c>
      <c r="U13" s="591">
        <v>7.5567199999999994</v>
      </c>
      <c r="V13" s="591">
        <v>9.4400899999999996</v>
      </c>
      <c r="W13" s="591">
        <v>10.8324</v>
      </c>
      <c r="X13" s="591">
        <v>12.487</v>
      </c>
      <c r="Y13" s="591">
        <v>17.090199999999999</v>
      </c>
      <c r="Z13" s="591">
        <v>18.732599999999998</v>
      </c>
      <c r="AA13" s="591">
        <v>19.395700000000001</v>
      </c>
      <c r="AB13" s="591">
        <v>19.508599999999998</v>
      </c>
      <c r="AC13" s="591">
        <v>19.3782</v>
      </c>
      <c r="AD13" s="591">
        <v>19.1526</v>
      </c>
      <c r="AE13" s="591">
        <v>19.562699999999996</v>
      </c>
      <c r="AF13" s="591">
        <f>SUM(AF14,AF26)</f>
        <v>19.633800000000001</v>
      </c>
      <c r="AG13" s="591">
        <f>SUM(AG14,AG26)</f>
        <v>19.070779999999999</v>
      </c>
      <c r="AH13" s="591">
        <f>SUM(AH14,AH26)</f>
        <v>17.6158</v>
      </c>
      <c r="AI13" s="591">
        <f>SUM(AI14,AI26)</f>
        <v>16.017499999999998</v>
      </c>
      <c r="AJ13" s="597">
        <v>16.017499999999998</v>
      </c>
    </row>
    <row r="14" spans="1:36" s="12" customFormat="1" ht="15.6">
      <c r="A14" s="590" t="s">
        <v>446</v>
      </c>
      <c r="B14" s="188">
        <f>SUM(B15,B18)</f>
        <v>0</v>
      </c>
      <c r="C14" s="592">
        <v>6.3150000000000012E-2</v>
      </c>
      <c r="D14" s="592">
        <v>0</v>
      </c>
      <c r="E14" s="592">
        <v>0</v>
      </c>
      <c r="F14" s="592">
        <v>0.09</v>
      </c>
      <c r="G14" s="592">
        <v>0.12575</v>
      </c>
      <c r="H14" s="592">
        <v>0.25414999999999999</v>
      </c>
      <c r="I14" s="592">
        <v>0.41910000000000003</v>
      </c>
      <c r="J14" s="592">
        <v>0.64075000000000004</v>
      </c>
      <c r="K14" s="592">
        <v>0.87784999999999991</v>
      </c>
      <c r="L14" s="592">
        <v>0.80025000000000002</v>
      </c>
      <c r="M14" s="592">
        <v>0.90349999999999997</v>
      </c>
      <c r="N14" s="592">
        <v>1.681</v>
      </c>
      <c r="O14" s="592">
        <v>2.1905000000000001</v>
      </c>
      <c r="P14" s="592">
        <v>2.3285499999999999</v>
      </c>
      <c r="Q14" s="592">
        <v>2.4571999999999998</v>
      </c>
      <c r="R14" s="592">
        <v>3.1551500000000003</v>
      </c>
      <c r="S14" s="592">
        <v>3.4166500000000006</v>
      </c>
      <c r="T14" s="592">
        <v>3.8968000000000003</v>
      </c>
      <c r="U14" s="592">
        <v>5.1778000000000004</v>
      </c>
      <c r="V14" s="592">
        <v>6.1892100000000001</v>
      </c>
      <c r="W14" s="592">
        <v>6.6080399999999999</v>
      </c>
      <c r="X14" s="592">
        <v>7.2943999999999996</v>
      </c>
      <c r="Y14" s="592">
        <v>9.6193999999999988</v>
      </c>
      <c r="Z14" s="592">
        <v>9.9095999999999993</v>
      </c>
      <c r="AA14" s="592">
        <v>9.8281000000000009</v>
      </c>
      <c r="AB14" s="592">
        <v>9.8147000000000002</v>
      </c>
      <c r="AC14" s="592">
        <v>9.3997000000000011</v>
      </c>
      <c r="AD14" s="592">
        <v>9.0241000000000007</v>
      </c>
      <c r="AE14" s="592">
        <v>9.0239999999999991</v>
      </c>
      <c r="AF14" s="592">
        <f>SUM(AF15,AF18,AF23)</f>
        <v>8.8986000000000001</v>
      </c>
      <c r="AG14" s="592">
        <f>SUM(AG15,AG18,AG23)</f>
        <v>9.0036799999999992</v>
      </c>
      <c r="AH14" s="592">
        <f>SUM(AH15,AH18,AH23)</f>
        <v>8.1684999999999999</v>
      </c>
      <c r="AI14" s="592">
        <f>SUM(AI15,AI18,AI23)</f>
        <v>6.7284000000000006</v>
      </c>
      <c r="AJ14" s="598">
        <f>SUM(AJ15,AJ18,AJ23)</f>
        <v>0</v>
      </c>
    </row>
    <row r="15" spans="1:36" s="12" customFormat="1" ht="15.6">
      <c r="A15" s="589" t="s">
        <v>447</v>
      </c>
      <c r="B15" s="188">
        <f>SUM(B16:B17)</f>
        <v>0</v>
      </c>
      <c r="C15" s="592">
        <v>5.5450000000000006E-2</v>
      </c>
      <c r="D15" s="592">
        <v>0</v>
      </c>
      <c r="E15" s="592">
        <v>0</v>
      </c>
      <c r="F15" s="592">
        <v>6.9000000000000006E-2</v>
      </c>
      <c r="G15" s="592">
        <v>9.0549999999999992E-2</v>
      </c>
      <c r="H15" s="592">
        <v>0.12815000000000001</v>
      </c>
      <c r="I15" s="592">
        <v>0.12279999999999999</v>
      </c>
      <c r="J15" s="592">
        <v>0.18815000000000001</v>
      </c>
      <c r="K15" s="592">
        <v>0.33665</v>
      </c>
      <c r="L15" s="592">
        <v>0.27605000000000002</v>
      </c>
      <c r="M15" s="592">
        <v>0.3085</v>
      </c>
      <c r="N15" s="592">
        <v>0.89680000000000004</v>
      </c>
      <c r="O15" s="592">
        <v>1.3397000000000001</v>
      </c>
      <c r="P15" s="592">
        <v>1.36385</v>
      </c>
      <c r="Q15" s="592">
        <v>1.4901</v>
      </c>
      <c r="R15" s="592">
        <v>2.0606499999999999</v>
      </c>
      <c r="S15" s="592">
        <v>2.2571500000000002</v>
      </c>
      <c r="T15" s="592">
        <v>2.5634999999999999</v>
      </c>
      <c r="U15" s="592">
        <v>2.9039999999999999</v>
      </c>
      <c r="V15" s="592">
        <v>2.6053099999999998</v>
      </c>
      <c r="W15" s="592">
        <v>2.8683500000000004</v>
      </c>
      <c r="X15" s="592">
        <v>2.7596999999999996</v>
      </c>
      <c r="Y15" s="592">
        <v>3.3712</v>
      </c>
      <c r="Z15" s="592">
        <v>3.2875000000000001</v>
      </c>
      <c r="AA15" s="592">
        <v>3.2965</v>
      </c>
      <c r="AB15" s="592">
        <v>3.4433999999999996</v>
      </c>
      <c r="AC15" s="592">
        <v>3.3584999999999998</v>
      </c>
      <c r="AD15" s="592">
        <v>3.3069999999999999</v>
      </c>
      <c r="AE15" s="592">
        <v>3.2191000000000001</v>
      </c>
      <c r="AF15" s="592">
        <f>SUM(AF16:AF17)</f>
        <v>3.2446999999999999</v>
      </c>
      <c r="AG15" s="592">
        <f>SUM(AG16:AG17)</f>
        <v>3.4795999999999996</v>
      </c>
      <c r="AH15" s="592">
        <f>SUM(AH16:AH17)</f>
        <v>3.2702</v>
      </c>
      <c r="AI15" s="592">
        <f>SUM(AI16:AI17)</f>
        <v>2.6341000000000001</v>
      </c>
      <c r="AJ15" s="598">
        <f>SUM(AJ16:AJ17)</f>
        <v>0</v>
      </c>
    </row>
    <row r="16" spans="1:36" s="12" customFormat="1" ht="15.6">
      <c r="A16" s="586" t="s">
        <v>459</v>
      </c>
      <c r="B16" s="594">
        <v>0</v>
      </c>
      <c r="C16" s="594">
        <v>5.5450000000000006E-2</v>
      </c>
      <c r="D16" s="594">
        <v>0</v>
      </c>
      <c r="E16" s="594">
        <v>0</v>
      </c>
      <c r="F16" s="594">
        <v>6.6599999999999993E-2</v>
      </c>
      <c r="G16" s="594">
        <v>7.7049999999999993E-2</v>
      </c>
      <c r="H16" s="594">
        <v>0.11155</v>
      </c>
      <c r="I16" s="594">
        <v>0.10829999999999999</v>
      </c>
      <c r="J16" s="594">
        <v>0.12965000000000002</v>
      </c>
      <c r="K16" s="594">
        <v>0.11755</v>
      </c>
      <c r="L16" s="594">
        <v>0.13325000000000001</v>
      </c>
      <c r="M16" s="594">
        <v>0.1565</v>
      </c>
      <c r="N16" s="594">
        <v>0.21109999999999998</v>
      </c>
      <c r="O16" s="594">
        <v>0.29599999999999999</v>
      </c>
      <c r="P16" s="594">
        <v>0.36125000000000002</v>
      </c>
      <c r="Q16" s="594">
        <v>0.41560000000000002</v>
      </c>
      <c r="R16" s="594">
        <v>0.54764999999999997</v>
      </c>
      <c r="S16" s="594">
        <v>0.59095000000000009</v>
      </c>
      <c r="T16" s="594">
        <v>0.63479999999999992</v>
      </c>
      <c r="U16" s="594">
        <v>0.79970000000000008</v>
      </c>
      <c r="V16" s="594">
        <v>1.0622100000000001</v>
      </c>
      <c r="W16" s="594">
        <v>1.20068</v>
      </c>
      <c r="X16" s="594">
        <v>1.2147000000000001</v>
      </c>
      <c r="Y16" s="594">
        <v>1.2390999999999999</v>
      </c>
      <c r="Z16" s="594">
        <v>1.2767999999999999</v>
      </c>
      <c r="AA16" s="594">
        <v>1.2199</v>
      </c>
      <c r="AB16" s="594">
        <v>1.2202999999999999</v>
      </c>
      <c r="AC16" s="594">
        <v>1.1620999999999999</v>
      </c>
      <c r="AD16" s="594">
        <v>1.1415</v>
      </c>
      <c r="AE16" s="594">
        <v>1.0900000000000001</v>
      </c>
      <c r="AF16" s="594">
        <v>1.0677999999999999</v>
      </c>
      <c r="AG16" s="594">
        <v>1.0944</v>
      </c>
      <c r="AH16" s="594">
        <v>1.0045999999999999</v>
      </c>
      <c r="AI16" s="594">
        <v>1.0056</v>
      </c>
      <c r="AJ16" s="596">
        <v>0</v>
      </c>
    </row>
    <row r="17" spans="1:36" s="12" customFormat="1" ht="15.6">
      <c r="A17" s="587" t="s">
        <v>449</v>
      </c>
      <c r="B17" s="594">
        <v>0</v>
      </c>
      <c r="C17" s="594">
        <v>0</v>
      </c>
      <c r="D17" s="594">
        <v>0</v>
      </c>
      <c r="E17" s="594">
        <v>0</v>
      </c>
      <c r="F17" s="594">
        <v>2.3999999999999998E-3</v>
      </c>
      <c r="G17" s="594">
        <v>1.35E-2</v>
      </c>
      <c r="H17" s="594">
        <v>1.66E-2</v>
      </c>
      <c r="I17" s="594">
        <v>1.4500000000000001E-2</v>
      </c>
      <c r="J17" s="594">
        <v>5.8500000000000003E-2</v>
      </c>
      <c r="K17" s="594">
        <v>0.21909999999999999</v>
      </c>
      <c r="L17" s="594">
        <v>0.14280000000000001</v>
      </c>
      <c r="M17" s="594">
        <v>0.152</v>
      </c>
      <c r="N17" s="594">
        <v>0.68570000000000009</v>
      </c>
      <c r="O17" s="594">
        <v>1.0437000000000001</v>
      </c>
      <c r="P17" s="594">
        <v>1.0025999999999999</v>
      </c>
      <c r="Q17" s="594">
        <v>1.0745</v>
      </c>
      <c r="R17" s="594">
        <v>1.5129999999999999</v>
      </c>
      <c r="S17" s="594">
        <v>1.6662000000000001</v>
      </c>
      <c r="T17" s="594">
        <v>1.9287000000000001</v>
      </c>
      <c r="U17" s="594">
        <v>2.1043000000000003</v>
      </c>
      <c r="V17" s="594">
        <v>1.5430999999999999</v>
      </c>
      <c r="W17" s="594">
        <v>1.66767</v>
      </c>
      <c r="X17" s="594">
        <v>1.5449999999999999</v>
      </c>
      <c r="Y17" s="594">
        <v>2.1320999999999999</v>
      </c>
      <c r="Z17" s="594">
        <v>2.0106999999999999</v>
      </c>
      <c r="AA17" s="594">
        <v>2.0766</v>
      </c>
      <c r="AB17" s="594">
        <v>2.2231000000000001</v>
      </c>
      <c r="AC17" s="594">
        <v>2.1964000000000001</v>
      </c>
      <c r="AD17" s="594">
        <v>2.1655000000000002</v>
      </c>
      <c r="AE17" s="594">
        <v>2.1290999999999998</v>
      </c>
      <c r="AF17" s="594">
        <v>2.1769000000000003</v>
      </c>
      <c r="AG17" s="594">
        <v>2.3851999999999998</v>
      </c>
      <c r="AH17" s="594">
        <v>2.2656000000000001</v>
      </c>
      <c r="AI17" s="594">
        <v>1.6285000000000001</v>
      </c>
      <c r="AJ17" s="596">
        <v>0</v>
      </c>
    </row>
    <row r="18" spans="1:36" s="12" customFormat="1" ht="15.6">
      <c r="A18" s="589" t="s">
        <v>450</v>
      </c>
      <c r="B18" s="188">
        <f>SUM(B19:B22)</f>
        <v>0</v>
      </c>
      <c r="C18" s="592">
        <v>7.7000000000000002E-3</v>
      </c>
      <c r="D18" s="592">
        <v>0</v>
      </c>
      <c r="E18" s="592">
        <v>0</v>
      </c>
      <c r="F18" s="592">
        <v>2.1000000000000001E-2</v>
      </c>
      <c r="G18" s="592">
        <v>3.5200000000000002E-2</v>
      </c>
      <c r="H18" s="592">
        <v>0.126</v>
      </c>
      <c r="I18" s="592">
        <v>0.29630000000000001</v>
      </c>
      <c r="J18" s="592">
        <v>0.4526</v>
      </c>
      <c r="K18" s="592">
        <v>0.5411999999999999</v>
      </c>
      <c r="L18" s="592">
        <v>0.5242</v>
      </c>
      <c r="M18" s="592">
        <v>0.59499999999999997</v>
      </c>
      <c r="N18" s="592">
        <v>0.78420000000000001</v>
      </c>
      <c r="O18" s="592">
        <v>0.85080000000000011</v>
      </c>
      <c r="P18" s="592">
        <v>0.96469999999999989</v>
      </c>
      <c r="Q18" s="592">
        <v>0.96709999999999996</v>
      </c>
      <c r="R18" s="592">
        <v>1.0945000000000003</v>
      </c>
      <c r="S18" s="592">
        <v>1.1595000000000002</v>
      </c>
      <c r="T18" s="592">
        <v>1.2907999999999999</v>
      </c>
      <c r="U18" s="592">
        <v>1.2995999999999999</v>
      </c>
      <c r="V18" s="592">
        <v>1.4512</v>
      </c>
      <c r="W18" s="592">
        <v>1.8684899999999998</v>
      </c>
      <c r="X18" s="592">
        <v>2.1607000000000003</v>
      </c>
      <c r="Y18" s="592">
        <v>3.4349000000000003</v>
      </c>
      <c r="Z18" s="592">
        <v>3.5379</v>
      </c>
      <c r="AA18" s="592">
        <v>3.1389999999999998</v>
      </c>
      <c r="AB18" s="592">
        <v>3.0731999999999999</v>
      </c>
      <c r="AC18" s="592">
        <v>2.9611000000000005</v>
      </c>
      <c r="AD18" s="592">
        <v>2.8958000000000004</v>
      </c>
      <c r="AE18" s="592">
        <v>2.863</v>
      </c>
      <c r="AF18" s="592">
        <f>SUM(AF19:AF22)</f>
        <v>2.7271999999999998</v>
      </c>
      <c r="AG18" s="592">
        <f>SUM(AG19:AG22)</f>
        <v>2.5086000000000004</v>
      </c>
      <c r="AH18" s="592">
        <f>SUM(AH19:AH22)</f>
        <v>2.4031000000000002</v>
      </c>
      <c r="AI18" s="592">
        <f>SUM(AI19:AI22)</f>
        <v>2.0804999999999998</v>
      </c>
      <c r="AJ18" s="598">
        <f>SUM(AJ19:AJ22)</f>
        <v>0</v>
      </c>
    </row>
    <row r="19" spans="1:36" s="12" customFormat="1" ht="15.6">
      <c r="A19" s="587" t="s">
        <v>451</v>
      </c>
      <c r="B19" s="594">
        <v>0</v>
      </c>
      <c r="C19" s="594">
        <v>7.7000000000000002E-3</v>
      </c>
      <c r="D19" s="594">
        <v>0</v>
      </c>
      <c r="E19" s="594">
        <v>0</v>
      </c>
      <c r="F19" s="594">
        <v>2.1000000000000001E-2</v>
      </c>
      <c r="G19" s="594">
        <v>3.5099999999999999E-2</v>
      </c>
      <c r="H19" s="594">
        <v>0.12590000000000001</v>
      </c>
      <c r="I19" s="594">
        <v>0.29610000000000003</v>
      </c>
      <c r="J19" s="594">
        <v>0.45200000000000001</v>
      </c>
      <c r="K19" s="594">
        <v>0.53959999999999997</v>
      </c>
      <c r="L19" s="594">
        <v>0.52349999999999997</v>
      </c>
      <c r="M19" s="594">
        <v>0.59379999999999999</v>
      </c>
      <c r="N19" s="594">
        <v>0.7792</v>
      </c>
      <c r="O19" s="594">
        <v>0.84320000000000006</v>
      </c>
      <c r="P19" s="594">
        <v>0.95599999999999996</v>
      </c>
      <c r="Q19" s="594">
        <v>0.95150000000000001</v>
      </c>
      <c r="R19" s="594">
        <v>1.0619000000000001</v>
      </c>
      <c r="S19" s="594">
        <v>1.1134000000000002</v>
      </c>
      <c r="T19" s="594">
        <v>1.202</v>
      </c>
      <c r="U19" s="594">
        <v>1.1777</v>
      </c>
      <c r="V19" s="594">
        <v>1.1974</v>
      </c>
      <c r="W19" s="594">
        <v>1.27349</v>
      </c>
      <c r="X19" s="594">
        <v>1.2104999999999999</v>
      </c>
      <c r="Y19" s="594">
        <v>1.2741</v>
      </c>
      <c r="Z19" s="594">
        <v>1.2297</v>
      </c>
      <c r="AA19" s="594">
        <v>1.0570999999999999</v>
      </c>
      <c r="AB19" s="594">
        <v>0.9927999999999999</v>
      </c>
      <c r="AC19" s="594">
        <v>0.88460000000000005</v>
      </c>
      <c r="AD19" s="594">
        <v>0.83750000000000002</v>
      </c>
      <c r="AE19" s="594">
        <v>0.79870000000000008</v>
      </c>
      <c r="AF19" s="594">
        <v>0.66479999999999995</v>
      </c>
      <c r="AG19" s="594">
        <v>0.61760000000000004</v>
      </c>
      <c r="AH19" s="594">
        <v>0.61139999999999994</v>
      </c>
      <c r="AI19" s="594">
        <v>0.53939999999999999</v>
      </c>
      <c r="AJ19" s="596">
        <v>0</v>
      </c>
    </row>
    <row r="20" spans="1:36" s="12" customFormat="1" ht="15.6">
      <c r="A20" s="587" t="s">
        <v>452</v>
      </c>
      <c r="B20" s="594">
        <v>0</v>
      </c>
      <c r="C20" s="594">
        <v>0</v>
      </c>
      <c r="D20" s="594">
        <v>0</v>
      </c>
      <c r="E20" s="594">
        <v>0</v>
      </c>
      <c r="F20" s="594">
        <v>0</v>
      </c>
      <c r="G20" s="594">
        <v>1E-4</v>
      </c>
      <c r="H20" s="594">
        <v>1E-4</v>
      </c>
      <c r="I20" s="594">
        <v>2.0000000000000001E-4</v>
      </c>
      <c r="J20" s="594">
        <v>5.9999999999999995E-4</v>
      </c>
      <c r="K20" s="594">
        <v>5.0000000000000001E-4</v>
      </c>
      <c r="L20" s="594">
        <v>2.9999999999999997E-4</v>
      </c>
      <c r="M20" s="594">
        <v>1E-4</v>
      </c>
      <c r="N20" s="594">
        <v>0</v>
      </c>
      <c r="O20" s="594">
        <v>0</v>
      </c>
      <c r="P20" s="594">
        <v>0</v>
      </c>
      <c r="Q20" s="594">
        <v>0</v>
      </c>
      <c r="R20" s="594">
        <v>0</v>
      </c>
      <c r="S20" s="594">
        <v>0</v>
      </c>
      <c r="T20" s="594">
        <v>2.3999999999999998E-3</v>
      </c>
      <c r="U20" s="594">
        <v>3.3E-3</v>
      </c>
      <c r="V20" s="594">
        <v>1.1599999999999999E-2</v>
      </c>
      <c r="W20" s="594">
        <v>1.9300000000000001E-2</v>
      </c>
      <c r="X20" s="594">
        <v>1.2199999999999999E-2</v>
      </c>
      <c r="Y20" s="594">
        <v>1.4500000000000001E-2</v>
      </c>
      <c r="Z20" s="594">
        <v>1.7600000000000001E-2</v>
      </c>
      <c r="AA20" s="594">
        <v>2.06E-2</v>
      </c>
      <c r="AB20" s="594">
        <v>2.0199999999999999E-2</v>
      </c>
      <c r="AC20" s="594">
        <v>1.77E-2</v>
      </c>
      <c r="AD20" s="594">
        <v>1.7500000000000002E-2</v>
      </c>
      <c r="AE20" s="594">
        <v>1.6199999999999999E-2</v>
      </c>
      <c r="AF20" s="594">
        <v>1.4E-2</v>
      </c>
      <c r="AG20" s="594">
        <v>1.7000000000000001E-2</v>
      </c>
      <c r="AH20" s="594">
        <v>1.6199999999999999E-2</v>
      </c>
      <c r="AI20" s="594">
        <v>1.54E-2</v>
      </c>
      <c r="AJ20" s="596">
        <v>0</v>
      </c>
    </row>
    <row r="21" spans="1:36" s="12" customFormat="1" ht="15.6">
      <c r="A21" s="587" t="s">
        <v>453</v>
      </c>
      <c r="B21" s="594">
        <v>0</v>
      </c>
      <c r="C21" s="594">
        <v>0</v>
      </c>
      <c r="D21" s="594">
        <v>0</v>
      </c>
      <c r="E21" s="594">
        <v>0</v>
      </c>
      <c r="F21" s="594">
        <v>0</v>
      </c>
      <c r="G21" s="594">
        <v>0</v>
      </c>
      <c r="H21" s="594">
        <v>0</v>
      </c>
      <c r="I21" s="594">
        <v>0</v>
      </c>
      <c r="J21" s="594">
        <v>0</v>
      </c>
      <c r="K21" s="594">
        <v>8.0000000000000004E-4</v>
      </c>
      <c r="L21" s="594">
        <v>2.0000000000000001E-4</v>
      </c>
      <c r="M21" s="594">
        <v>1.1000000000000001E-3</v>
      </c>
      <c r="N21" s="594">
        <v>5.0000000000000001E-3</v>
      </c>
      <c r="O21" s="594">
        <v>3.5000000000000001E-3</v>
      </c>
      <c r="P21" s="594">
        <v>6.3E-3</v>
      </c>
      <c r="Q21" s="594">
        <v>8.8000000000000005E-3</v>
      </c>
      <c r="R21" s="594">
        <v>1.6199999999999999E-2</v>
      </c>
      <c r="S21" s="594">
        <v>2.0899999999999998E-2</v>
      </c>
      <c r="T21" s="594">
        <v>4.4299999999999999E-2</v>
      </c>
      <c r="U21" s="594">
        <v>4.4299999999999999E-2</v>
      </c>
      <c r="V21" s="594">
        <v>0.1003</v>
      </c>
      <c r="W21" s="594">
        <v>0.1338</v>
      </c>
      <c r="X21" s="594">
        <v>0.1474</v>
      </c>
      <c r="Y21" s="594">
        <v>0.33189999999999997</v>
      </c>
      <c r="Z21" s="594">
        <v>0.39610000000000001</v>
      </c>
      <c r="AA21" s="594">
        <v>0.38950000000000001</v>
      </c>
      <c r="AB21" s="594">
        <v>0.40629999999999999</v>
      </c>
      <c r="AC21" s="594">
        <v>0.40849999999999997</v>
      </c>
      <c r="AD21" s="594">
        <v>0.42</v>
      </c>
      <c r="AE21" s="594">
        <v>0.42330000000000001</v>
      </c>
      <c r="AF21" s="594">
        <v>0.43019999999999997</v>
      </c>
      <c r="AG21" s="594">
        <v>0.39500000000000002</v>
      </c>
      <c r="AH21" s="594">
        <v>0.37580000000000002</v>
      </c>
      <c r="AI21" s="594">
        <v>0.31660000000000005</v>
      </c>
      <c r="AJ21" s="596">
        <v>0</v>
      </c>
    </row>
    <row r="22" spans="1:36" s="12" customFormat="1" ht="15.6">
      <c r="A22" s="587" t="s">
        <v>454</v>
      </c>
      <c r="B22" s="594">
        <v>0</v>
      </c>
      <c r="C22" s="594">
        <v>0</v>
      </c>
      <c r="D22" s="594">
        <v>0</v>
      </c>
      <c r="E22" s="594">
        <v>0</v>
      </c>
      <c r="F22" s="594">
        <v>0</v>
      </c>
      <c r="G22" s="594">
        <v>0</v>
      </c>
      <c r="H22" s="594">
        <v>0</v>
      </c>
      <c r="I22" s="594">
        <v>0</v>
      </c>
      <c r="J22" s="594">
        <v>0</v>
      </c>
      <c r="K22" s="594">
        <v>2.9999999999999997E-4</v>
      </c>
      <c r="L22" s="594">
        <v>2.0000000000000001E-4</v>
      </c>
      <c r="M22" s="594">
        <v>0</v>
      </c>
      <c r="N22" s="594">
        <v>0</v>
      </c>
      <c r="O22" s="594">
        <v>4.0999999999999995E-3</v>
      </c>
      <c r="P22" s="594">
        <v>2.3999999999999998E-3</v>
      </c>
      <c r="Q22" s="594">
        <v>6.7999999999999996E-3</v>
      </c>
      <c r="R22" s="594">
        <v>1.6399999999999998E-2</v>
      </c>
      <c r="S22" s="594">
        <v>2.52E-2</v>
      </c>
      <c r="T22" s="594">
        <v>4.2099999999999999E-2</v>
      </c>
      <c r="U22" s="594">
        <v>7.4299999999999991E-2</v>
      </c>
      <c r="V22" s="594">
        <v>0.1419</v>
      </c>
      <c r="W22" s="594">
        <v>0.44189999999999996</v>
      </c>
      <c r="X22" s="594">
        <v>0.79059999999999997</v>
      </c>
      <c r="Y22" s="594">
        <v>1.8144</v>
      </c>
      <c r="Z22" s="594">
        <v>1.8945000000000001</v>
      </c>
      <c r="AA22" s="594">
        <v>1.6718</v>
      </c>
      <c r="AB22" s="594">
        <v>1.6539000000000001</v>
      </c>
      <c r="AC22" s="594">
        <v>1.6502999999999999</v>
      </c>
      <c r="AD22" s="594">
        <v>1.6208</v>
      </c>
      <c r="AE22" s="594">
        <v>1.6248</v>
      </c>
      <c r="AF22" s="594">
        <v>1.6182000000000001</v>
      </c>
      <c r="AG22" s="594">
        <v>1.4790000000000001</v>
      </c>
      <c r="AH22" s="594">
        <v>1.3996999999999999</v>
      </c>
      <c r="AI22" s="594">
        <v>1.2090999999999998</v>
      </c>
      <c r="AJ22" s="596">
        <v>0</v>
      </c>
    </row>
    <row r="23" spans="1:36" s="12" customFormat="1" ht="15.6">
      <c r="A23" s="589" t="s">
        <v>455</v>
      </c>
      <c r="B23" s="595">
        <v>0</v>
      </c>
      <c r="C23" s="592">
        <v>0</v>
      </c>
      <c r="D23" s="592">
        <v>0</v>
      </c>
      <c r="E23" s="592">
        <v>0</v>
      </c>
      <c r="F23" s="592">
        <v>0</v>
      </c>
      <c r="G23" s="592">
        <v>0</v>
      </c>
      <c r="H23" s="592">
        <v>0</v>
      </c>
      <c r="I23" s="592">
        <v>0</v>
      </c>
      <c r="J23" s="592">
        <v>0</v>
      </c>
      <c r="K23" s="592">
        <v>0</v>
      </c>
      <c r="L23" s="592">
        <v>0</v>
      </c>
      <c r="M23" s="592">
        <v>0</v>
      </c>
      <c r="N23" s="592">
        <v>0</v>
      </c>
      <c r="O23" s="592">
        <v>0</v>
      </c>
      <c r="P23" s="592">
        <v>0</v>
      </c>
      <c r="Q23" s="592">
        <v>0</v>
      </c>
      <c r="R23" s="592">
        <v>0</v>
      </c>
      <c r="S23" s="592">
        <v>0</v>
      </c>
      <c r="T23" s="592">
        <v>4.2500000000000003E-2</v>
      </c>
      <c r="U23" s="592">
        <v>0.97420000000000007</v>
      </c>
      <c r="V23" s="592">
        <v>2.1326999999999998</v>
      </c>
      <c r="W23" s="592">
        <v>1.8711999999999998</v>
      </c>
      <c r="X23" s="592">
        <v>2.3740000000000001</v>
      </c>
      <c r="Y23" s="592">
        <v>2.8132999999999999</v>
      </c>
      <c r="Z23" s="592">
        <v>3.0841999999999996</v>
      </c>
      <c r="AA23" s="592">
        <v>3.3925999999999998</v>
      </c>
      <c r="AB23" s="592">
        <v>3.2981000000000003</v>
      </c>
      <c r="AC23" s="592">
        <v>3.0800999999999998</v>
      </c>
      <c r="AD23" s="592">
        <v>2.8212999999999999</v>
      </c>
      <c r="AE23" s="592">
        <v>2.9419</v>
      </c>
      <c r="AF23" s="592">
        <f>SUM(AF24:AF25)</f>
        <v>2.9267000000000003</v>
      </c>
      <c r="AG23" s="592">
        <f>SUM(AG24:AG25)</f>
        <v>3.0154799999999997</v>
      </c>
      <c r="AH23" s="592">
        <f>SUM(AH24:AH25)</f>
        <v>2.4952000000000001</v>
      </c>
      <c r="AI23" s="592">
        <f>SUM(AI24:AI25)</f>
        <v>2.0138000000000003</v>
      </c>
      <c r="AJ23" s="598">
        <f>SUM(AJ24:AJ25)</f>
        <v>0</v>
      </c>
    </row>
    <row r="24" spans="1:36" s="12" customFormat="1" ht="15.6">
      <c r="A24" s="587" t="s">
        <v>456</v>
      </c>
      <c r="B24" s="594">
        <v>0</v>
      </c>
      <c r="C24" s="594">
        <v>0</v>
      </c>
      <c r="D24" s="594">
        <v>0</v>
      </c>
      <c r="E24" s="594">
        <v>0</v>
      </c>
      <c r="F24" s="594">
        <v>0</v>
      </c>
      <c r="G24" s="594">
        <v>0</v>
      </c>
      <c r="H24" s="594">
        <v>0</v>
      </c>
      <c r="I24" s="594">
        <v>0</v>
      </c>
      <c r="J24" s="594">
        <v>0</v>
      </c>
      <c r="K24" s="594">
        <v>0</v>
      </c>
      <c r="L24" s="594">
        <v>0</v>
      </c>
      <c r="M24" s="594">
        <v>0</v>
      </c>
      <c r="N24" s="594">
        <v>0</v>
      </c>
      <c r="O24" s="594">
        <v>0</v>
      </c>
      <c r="P24" s="594">
        <v>0</v>
      </c>
      <c r="Q24" s="594">
        <v>0</v>
      </c>
      <c r="R24" s="594">
        <v>0</v>
      </c>
      <c r="S24" s="594">
        <v>0</v>
      </c>
      <c r="T24" s="594">
        <v>1.3099999999999999E-2</v>
      </c>
      <c r="U24" s="594">
        <v>0.58299999999999996</v>
      </c>
      <c r="V24" s="594">
        <v>1.7590999999999999</v>
      </c>
      <c r="W24" s="594">
        <v>1.7090999999999998</v>
      </c>
      <c r="X24" s="594">
        <v>2.0514999999999999</v>
      </c>
      <c r="Y24" s="594">
        <v>2.3741999999999996</v>
      </c>
      <c r="Z24" s="594">
        <v>2.5790999999999999</v>
      </c>
      <c r="AA24" s="594">
        <v>2.84</v>
      </c>
      <c r="AB24" s="594">
        <v>2.7599</v>
      </c>
      <c r="AC24" s="594">
        <v>2.5556000000000001</v>
      </c>
      <c r="AD24" s="594">
        <v>2.2942</v>
      </c>
      <c r="AE24" s="594">
        <v>2.4169999999999998</v>
      </c>
      <c r="AF24" s="594">
        <v>2.4399000000000002</v>
      </c>
      <c r="AG24" s="594">
        <v>2.5301399999999998</v>
      </c>
      <c r="AH24" s="594">
        <v>2.089</v>
      </c>
      <c r="AI24" s="594">
        <v>1.8565</v>
      </c>
      <c r="AJ24" s="596">
        <v>0</v>
      </c>
    </row>
    <row r="25" spans="1:36" s="12" customFormat="1" ht="15.6">
      <c r="A25" s="587" t="s">
        <v>457</v>
      </c>
      <c r="B25" s="594">
        <v>0</v>
      </c>
      <c r="C25" s="594">
        <v>0</v>
      </c>
      <c r="D25" s="594">
        <v>0</v>
      </c>
      <c r="E25" s="594">
        <v>0</v>
      </c>
      <c r="F25" s="594">
        <v>0</v>
      </c>
      <c r="G25" s="594">
        <v>0</v>
      </c>
      <c r="H25" s="594">
        <v>0</v>
      </c>
      <c r="I25" s="594">
        <v>0</v>
      </c>
      <c r="J25" s="594">
        <v>0</v>
      </c>
      <c r="K25" s="594">
        <v>0</v>
      </c>
      <c r="L25" s="594">
        <v>0</v>
      </c>
      <c r="M25" s="594">
        <v>0</v>
      </c>
      <c r="N25" s="594">
        <v>0</v>
      </c>
      <c r="O25" s="594">
        <v>0</v>
      </c>
      <c r="P25" s="594">
        <v>0</v>
      </c>
      <c r="Q25" s="594">
        <v>0</v>
      </c>
      <c r="R25" s="594">
        <v>0</v>
      </c>
      <c r="S25" s="594">
        <v>0</v>
      </c>
      <c r="T25" s="594">
        <v>2.9399999999999999E-2</v>
      </c>
      <c r="U25" s="594">
        <v>0.39119999999999999</v>
      </c>
      <c r="V25" s="594">
        <v>0.37360000000000004</v>
      </c>
      <c r="W25" s="594">
        <v>0.16209999999999999</v>
      </c>
      <c r="X25" s="594">
        <v>0.32250000000000001</v>
      </c>
      <c r="Y25" s="594">
        <v>0.43910000000000005</v>
      </c>
      <c r="Z25" s="594">
        <v>0.50509999999999999</v>
      </c>
      <c r="AA25" s="594">
        <v>0.55259999999999998</v>
      </c>
      <c r="AB25" s="594">
        <v>0.53820000000000001</v>
      </c>
      <c r="AC25" s="594">
        <v>0.52449999999999997</v>
      </c>
      <c r="AD25" s="594">
        <v>0.52710000000000001</v>
      </c>
      <c r="AE25" s="594">
        <v>0.52489999999999992</v>
      </c>
      <c r="AF25" s="594">
        <v>0.48680000000000001</v>
      </c>
      <c r="AG25" s="594">
        <v>0.48533999999999999</v>
      </c>
      <c r="AH25" s="594">
        <v>0.40620000000000001</v>
      </c>
      <c r="AI25" s="594">
        <v>0.15730000000000002</v>
      </c>
      <c r="AJ25" s="596">
        <v>0</v>
      </c>
    </row>
    <row r="26" spans="1:36" s="12" customFormat="1" ht="15.6">
      <c r="A26" s="588" t="s">
        <v>458</v>
      </c>
      <c r="B26" s="592">
        <v>0</v>
      </c>
      <c r="C26" s="592">
        <v>3.8649999999999997E-2</v>
      </c>
      <c r="D26" s="592">
        <v>0</v>
      </c>
      <c r="E26" s="592">
        <v>0</v>
      </c>
      <c r="F26" s="592">
        <v>0.10034999999999999</v>
      </c>
      <c r="G26" s="592">
        <v>0.17714999999999997</v>
      </c>
      <c r="H26" s="592">
        <v>0.22995000000000002</v>
      </c>
      <c r="I26" s="592">
        <v>0.27505000000000002</v>
      </c>
      <c r="J26" s="592">
        <v>0.35575000000000001</v>
      </c>
      <c r="K26" s="592">
        <v>0.61795</v>
      </c>
      <c r="L26" s="592">
        <v>0.70429999999999993</v>
      </c>
      <c r="M26" s="592">
        <v>1.0544500000000001</v>
      </c>
      <c r="N26" s="592">
        <v>1.02755</v>
      </c>
      <c r="O26" s="592">
        <v>1.3965500000000002</v>
      </c>
      <c r="P26" s="592">
        <v>2.17035</v>
      </c>
      <c r="Q26" s="592">
        <v>2.3878499999999998</v>
      </c>
      <c r="R26" s="592">
        <v>2.1311499999999999</v>
      </c>
      <c r="S26" s="592">
        <v>2.0246</v>
      </c>
      <c r="T26" s="592">
        <v>2.06955</v>
      </c>
      <c r="U26" s="592">
        <v>2.3789199999999995</v>
      </c>
      <c r="V26" s="592">
        <v>3.25088</v>
      </c>
      <c r="W26" s="592">
        <v>4.2243599999999999</v>
      </c>
      <c r="X26" s="592">
        <v>5.1926000000000005</v>
      </c>
      <c r="Y26" s="592">
        <v>7.4708000000000006</v>
      </c>
      <c r="Z26" s="592">
        <v>8.8230000000000004</v>
      </c>
      <c r="AA26" s="592">
        <v>9.5676000000000005</v>
      </c>
      <c r="AB26" s="592">
        <v>9.6938999999999993</v>
      </c>
      <c r="AC26" s="592">
        <v>9.9785000000000004</v>
      </c>
      <c r="AD26" s="592">
        <v>10.128500000000001</v>
      </c>
      <c r="AE26" s="592">
        <v>10.538699999999999</v>
      </c>
      <c r="AF26" s="592">
        <f>SUM(AF27,AF30,AF35)</f>
        <v>10.735200000000001</v>
      </c>
      <c r="AG26" s="592">
        <f>SUM(AG27,AG30,AG35)</f>
        <v>10.0671</v>
      </c>
      <c r="AH26" s="592">
        <f>SUM(AH27,AH30,AH35)</f>
        <v>9.4472999999999985</v>
      </c>
      <c r="AI26" s="592">
        <f>SUM(AI27,AI30,AI35)</f>
        <v>9.2890999999999995</v>
      </c>
      <c r="AJ26" s="598">
        <f>SUM(AJ27,AJ30,AJ35)</f>
        <v>0</v>
      </c>
    </row>
    <row r="27" spans="1:36" s="12" customFormat="1" ht="15.6">
      <c r="A27" s="589" t="s">
        <v>447</v>
      </c>
      <c r="B27" s="592">
        <v>0</v>
      </c>
      <c r="C27" s="592">
        <v>3.6449999999999996E-2</v>
      </c>
      <c r="D27" s="592">
        <v>0</v>
      </c>
      <c r="E27" s="592">
        <v>0</v>
      </c>
      <c r="F27" s="592">
        <v>8.5750000000000007E-2</v>
      </c>
      <c r="G27" s="592">
        <v>0.10975</v>
      </c>
      <c r="H27" s="592">
        <v>0.14895000000000003</v>
      </c>
      <c r="I27" s="592">
        <v>0.19855</v>
      </c>
      <c r="J27" s="592">
        <v>0.31455</v>
      </c>
      <c r="K27" s="592">
        <v>0.57645000000000002</v>
      </c>
      <c r="L27" s="592">
        <v>0.6623</v>
      </c>
      <c r="M27" s="592">
        <v>0.96514999999999995</v>
      </c>
      <c r="N27" s="592">
        <v>0.86875000000000002</v>
      </c>
      <c r="O27" s="592">
        <v>1.21445</v>
      </c>
      <c r="P27" s="592">
        <v>1.96485</v>
      </c>
      <c r="Q27" s="592">
        <v>2.1569499999999997</v>
      </c>
      <c r="R27" s="592">
        <v>1.8893499999999999</v>
      </c>
      <c r="S27" s="592">
        <v>1.7367999999999999</v>
      </c>
      <c r="T27" s="592">
        <v>1.73875</v>
      </c>
      <c r="U27" s="592">
        <v>1.53989</v>
      </c>
      <c r="V27" s="592">
        <v>1.70224</v>
      </c>
      <c r="W27" s="592">
        <v>1.8618400000000002</v>
      </c>
      <c r="X27" s="592">
        <v>1.9858000000000002</v>
      </c>
      <c r="Y27" s="592">
        <v>2.5135000000000001</v>
      </c>
      <c r="Z27" s="592">
        <v>2.9054000000000002</v>
      </c>
      <c r="AA27" s="592">
        <v>2.9935999999999998</v>
      </c>
      <c r="AB27" s="592">
        <v>3.0966000000000005</v>
      </c>
      <c r="AC27" s="592">
        <v>3.2570000000000001</v>
      </c>
      <c r="AD27" s="592">
        <v>3.2553000000000001</v>
      </c>
      <c r="AE27" s="592">
        <v>3.3896999999999999</v>
      </c>
      <c r="AF27" s="592">
        <f>SUM(AF28:AF29)</f>
        <v>3.5551999999999997</v>
      </c>
      <c r="AG27" s="592">
        <f>SUM(AG28:AG29)</f>
        <v>3.3582000000000005</v>
      </c>
      <c r="AH27" s="592">
        <f>SUM(AH28:AH29)</f>
        <v>3.4132999999999996</v>
      </c>
      <c r="AI27" s="592">
        <f>SUM(AI28:AI29)</f>
        <v>3.1412</v>
      </c>
      <c r="AJ27" s="598">
        <f>SUM(AJ28:AJ29)</f>
        <v>0</v>
      </c>
    </row>
    <row r="28" spans="1:36" s="12" customFormat="1" ht="15.6">
      <c r="A28" s="586" t="s">
        <v>448</v>
      </c>
      <c r="B28" s="594">
        <v>0</v>
      </c>
      <c r="C28" s="594">
        <v>3.415E-2</v>
      </c>
      <c r="D28" s="594">
        <v>0</v>
      </c>
      <c r="E28" s="594">
        <v>0</v>
      </c>
      <c r="F28" s="594">
        <v>2.7649999999999997E-2</v>
      </c>
      <c r="G28" s="594">
        <v>7.1500000000000001E-3</v>
      </c>
      <c r="H28" s="594">
        <v>8.5500000000000003E-3</v>
      </c>
      <c r="I28" s="594">
        <v>1.7749999999999998E-2</v>
      </c>
      <c r="J28" s="594">
        <v>0.10245</v>
      </c>
      <c r="K28" s="594">
        <v>0.20895</v>
      </c>
      <c r="L28" s="594">
        <v>0.26850000000000002</v>
      </c>
      <c r="M28" s="594">
        <v>0.47275</v>
      </c>
      <c r="N28" s="594">
        <v>0.50285000000000002</v>
      </c>
      <c r="O28" s="594">
        <v>0.60994999999999999</v>
      </c>
      <c r="P28" s="594">
        <v>0.77704999999999991</v>
      </c>
      <c r="Q28" s="594">
        <v>0.89424999999999999</v>
      </c>
      <c r="R28" s="594">
        <v>0.91064999999999996</v>
      </c>
      <c r="S28" s="594">
        <v>0.92149999999999999</v>
      </c>
      <c r="T28" s="594">
        <v>0.92135</v>
      </c>
      <c r="U28" s="594">
        <v>0.81647999999999998</v>
      </c>
      <c r="V28" s="594">
        <v>0.98574000000000006</v>
      </c>
      <c r="W28" s="594">
        <v>1.01712</v>
      </c>
      <c r="X28" s="594">
        <v>0.96160000000000001</v>
      </c>
      <c r="Y28" s="594">
        <v>0.98180000000000001</v>
      </c>
      <c r="Z28" s="594">
        <v>1.1662000000000001</v>
      </c>
      <c r="AA28" s="594">
        <v>1.2081</v>
      </c>
      <c r="AB28" s="594">
        <v>1.2309000000000001</v>
      </c>
      <c r="AC28" s="594">
        <v>1.2602</v>
      </c>
      <c r="AD28" s="594">
        <v>1.2625</v>
      </c>
      <c r="AE28" s="594">
        <v>1.3222</v>
      </c>
      <c r="AF28" s="594">
        <v>1.3115999999999999</v>
      </c>
      <c r="AG28" s="594">
        <v>1.2139000000000002</v>
      </c>
      <c r="AH28" s="594">
        <v>1.3210999999999999</v>
      </c>
      <c r="AI28" s="594">
        <v>1.3306</v>
      </c>
      <c r="AJ28" s="596">
        <v>0</v>
      </c>
    </row>
    <row r="29" spans="1:36" s="12" customFormat="1" ht="15.6">
      <c r="A29" s="587" t="s">
        <v>449</v>
      </c>
      <c r="B29" s="594">
        <v>0</v>
      </c>
      <c r="C29" s="594">
        <v>2.3E-3</v>
      </c>
      <c r="D29" s="594">
        <v>0</v>
      </c>
      <c r="E29" s="594">
        <v>0</v>
      </c>
      <c r="F29" s="594">
        <v>5.8099999999999999E-2</v>
      </c>
      <c r="G29" s="594">
        <v>0.1026</v>
      </c>
      <c r="H29" s="594">
        <v>0.1404</v>
      </c>
      <c r="I29" s="594">
        <v>0.18080000000000002</v>
      </c>
      <c r="J29" s="594">
        <v>0.21209999999999998</v>
      </c>
      <c r="K29" s="594">
        <v>0.36749999999999999</v>
      </c>
      <c r="L29" s="594">
        <v>0.39380000000000004</v>
      </c>
      <c r="M29" s="594">
        <v>0.4924</v>
      </c>
      <c r="N29" s="594">
        <v>0.3659</v>
      </c>
      <c r="O29" s="594">
        <v>0.60450000000000004</v>
      </c>
      <c r="P29" s="594">
        <v>1.1878</v>
      </c>
      <c r="Q29" s="594">
        <v>1.2627000000000002</v>
      </c>
      <c r="R29" s="594">
        <v>0.97870000000000001</v>
      </c>
      <c r="S29" s="594">
        <v>0.81529999999999991</v>
      </c>
      <c r="T29" s="594">
        <v>0.81740000000000002</v>
      </c>
      <c r="U29" s="594">
        <v>0.72341</v>
      </c>
      <c r="V29" s="594">
        <v>0.71650000000000003</v>
      </c>
      <c r="W29" s="594">
        <v>0.84472000000000003</v>
      </c>
      <c r="X29" s="594">
        <v>1.0242</v>
      </c>
      <c r="Y29" s="594">
        <v>1.5317000000000001</v>
      </c>
      <c r="Z29" s="594">
        <v>1.7392000000000001</v>
      </c>
      <c r="AA29" s="594">
        <v>1.7855000000000001</v>
      </c>
      <c r="AB29" s="594">
        <v>1.8657000000000001</v>
      </c>
      <c r="AC29" s="594">
        <v>1.9967999999999999</v>
      </c>
      <c r="AD29" s="594">
        <v>1.9927999999999999</v>
      </c>
      <c r="AE29" s="594">
        <v>2.0674999999999999</v>
      </c>
      <c r="AF29" s="594">
        <v>2.2435999999999998</v>
      </c>
      <c r="AG29" s="594">
        <v>2.1443000000000003</v>
      </c>
      <c r="AH29" s="594">
        <v>2.0921999999999996</v>
      </c>
      <c r="AI29" s="594">
        <v>1.8106</v>
      </c>
      <c r="AJ29" s="596">
        <v>0</v>
      </c>
    </row>
    <row r="30" spans="1:36" s="12" customFormat="1" ht="15.6">
      <c r="A30" s="589" t="s">
        <v>450</v>
      </c>
      <c r="B30" s="592">
        <v>0</v>
      </c>
      <c r="C30" s="592">
        <v>2.2000000000000001E-3</v>
      </c>
      <c r="D30" s="592">
        <v>0</v>
      </c>
      <c r="E30" s="592">
        <v>0</v>
      </c>
      <c r="F30" s="592">
        <v>1.46E-2</v>
      </c>
      <c r="G30" s="592">
        <v>6.7399999999999988E-2</v>
      </c>
      <c r="H30" s="592">
        <v>8.1000000000000003E-2</v>
      </c>
      <c r="I30" s="592">
        <v>7.6500000000000012E-2</v>
      </c>
      <c r="J30" s="592">
        <v>4.1200000000000001E-2</v>
      </c>
      <c r="K30" s="592">
        <v>4.1500000000000002E-2</v>
      </c>
      <c r="L30" s="592">
        <v>4.200000000000001E-2</v>
      </c>
      <c r="M30" s="592">
        <v>8.929999999999999E-2</v>
      </c>
      <c r="N30" s="592">
        <v>0.15880000000000002</v>
      </c>
      <c r="O30" s="592">
        <v>0.18210000000000001</v>
      </c>
      <c r="P30" s="592">
        <v>0.20549999999999999</v>
      </c>
      <c r="Q30" s="592">
        <v>0.23089999999999999</v>
      </c>
      <c r="R30" s="592">
        <v>0.24179999999999999</v>
      </c>
      <c r="S30" s="592">
        <v>0.2878</v>
      </c>
      <c r="T30" s="592">
        <v>0.30869999999999997</v>
      </c>
      <c r="U30" s="592">
        <v>0.36540999999999996</v>
      </c>
      <c r="V30" s="592">
        <v>0.60292000000000001</v>
      </c>
      <c r="W30" s="592">
        <v>1.5361999999999998</v>
      </c>
      <c r="X30" s="592">
        <v>2.4591999999999996</v>
      </c>
      <c r="Y30" s="592">
        <v>4.0128000000000004</v>
      </c>
      <c r="Z30" s="592">
        <v>4.6606999999999994</v>
      </c>
      <c r="AA30" s="592">
        <v>5.0728999999999997</v>
      </c>
      <c r="AB30" s="592">
        <v>5.1853999999999996</v>
      </c>
      <c r="AC30" s="592">
        <v>5.3380000000000001</v>
      </c>
      <c r="AD30" s="592">
        <v>5.4038000000000004</v>
      </c>
      <c r="AE30" s="592">
        <v>5.4138999999999999</v>
      </c>
      <c r="AF30" s="592">
        <f>SUM(AF31:AF34)</f>
        <v>5.4393000000000002</v>
      </c>
      <c r="AG30" s="592">
        <f>SUM(AG31:AG34)</f>
        <v>5.6156000000000006</v>
      </c>
      <c r="AH30" s="592">
        <f>SUM(AH31:AH34)</f>
        <v>5.4409999999999998</v>
      </c>
      <c r="AI30" s="592">
        <f>SUM(AI31:AI34)</f>
        <v>5.4032</v>
      </c>
      <c r="AJ30" s="598">
        <f>SUM(AJ31:AJ34)</f>
        <v>0</v>
      </c>
    </row>
    <row r="31" spans="1:36" s="12" customFormat="1" ht="15.6">
      <c r="A31" s="587" t="s">
        <v>451</v>
      </c>
      <c r="B31" s="594">
        <v>0</v>
      </c>
      <c r="C31" s="594">
        <v>0</v>
      </c>
      <c r="D31" s="594">
        <v>0</v>
      </c>
      <c r="E31" s="594">
        <v>0</v>
      </c>
      <c r="F31" s="594">
        <v>3.3999999999999998E-3</v>
      </c>
      <c r="G31" s="594">
        <v>5.3800000000000001E-2</v>
      </c>
      <c r="H31" s="594">
        <v>6.7900000000000002E-2</v>
      </c>
      <c r="I31" s="594">
        <v>6.4500000000000002E-2</v>
      </c>
      <c r="J31" s="594">
        <v>2.6800000000000001E-2</v>
      </c>
      <c r="K31" s="594">
        <v>2.6800000000000001E-2</v>
      </c>
      <c r="L31" s="594">
        <v>2.7800000000000002E-2</v>
      </c>
      <c r="M31" s="594">
        <v>7.0800000000000002E-2</v>
      </c>
      <c r="N31" s="594">
        <v>4.2799999999999998E-2</v>
      </c>
      <c r="O31" s="594">
        <v>6.7299999999999999E-2</v>
      </c>
      <c r="P31" s="594">
        <v>8.2400000000000001E-2</v>
      </c>
      <c r="Q31" s="594">
        <v>0.1008</v>
      </c>
      <c r="R31" s="594">
        <v>0.1149</v>
      </c>
      <c r="S31" s="594">
        <v>0.13390000000000002</v>
      </c>
      <c r="T31" s="594">
        <v>0.15309999999999999</v>
      </c>
      <c r="U31" s="594">
        <v>0.19515000000000002</v>
      </c>
      <c r="V31" s="594">
        <v>0.21739</v>
      </c>
      <c r="W31" s="594">
        <v>0.25459999999999999</v>
      </c>
      <c r="X31" s="594">
        <v>0.27650000000000002</v>
      </c>
      <c r="Y31" s="594">
        <v>0.34699999999999998</v>
      </c>
      <c r="Z31" s="594">
        <v>0.40820000000000001</v>
      </c>
      <c r="AA31" s="594">
        <v>0.46989999999999998</v>
      </c>
      <c r="AB31" s="594">
        <v>0.48360000000000003</v>
      </c>
      <c r="AC31" s="594">
        <v>0.54120000000000001</v>
      </c>
      <c r="AD31" s="594">
        <v>0.54400000000000004</v>
      </c>
      <c r="AE31" s="594">
        <v>0.52649999999999997</v>
      </c>
      <c r="AF31" s="594">
        <v>0.47870000000000001</v>
      </c>
      <c r="AG31" s="594">
        <v>0.441</v>
      </c>
      <c r="AH31" s="594">
        <v>0.37769999999999998</v>
      </c>
      <c r="AI31" s="594">
        <v>0.40579999999999999</v>
      </c>
      <c r="AJ31" s="596">
        <v>0</v>
      </c>
    </row>
    <row r="32" spans="1:36" s="12" customFormat="1" ht="15.6">
      <c r="A32" s="587" t="s">
        <v>452</v>
      </c>
      <c r="B32" s="594">
        <v>0</v>
      </c>
      <c r="C32" s="594">
        <v>8.9999999999999998E-4</v>
      </c>
      <c r="D32" s="594">
        <v>0</v>
      </c>
      <c r="E32" s="594">
        <v>0</v>
      </c>
      <c r="F32" s="594">
        <v>2.3999999999999998E-3</v>
      </c>
      <c r="G32" s="594">
        <v>2.8999999999999998E-3</v>
      </c>
      <c r="H32" s="594">
        <v>3.0999999999999999E-3</v>
      </c>
      <c r="I32" s="594">
        <v>2.7000000000000001E-3</v>
      </c>
      <c r="J32" s="594">
        <v>4.2000000000000006E-3</v>
      </c>
      <c r="K32" s="594">
        <v>5.7999999999999996E-3</v>
      </c>
      <c r="L32" s="594">
        <v>5.7999999999999996E-3</v>
      </c>
      <c r="M32" s="594">
        <v>4.4999999999999997E-3</v>
      </c>
      <c r="N32" s="594">
        <v>2.8E-3</v>
      </c>
      <c r="O32" s="594">
        <v>2.7000000000000001E-3</v>
      </c>
      <c r="P32" s="594">
        <v>1.1999999999999999E-3</v>
      </c>
      <c r="Q32" s="594">
        <v>3.2000000000000002E-3</v>
      </c>
      <c r="R32" s="594">
        <v>3.3E-3</v>
      </c>
      <c r="S32" s="594">
        <v>8.9999999999999993E-3</v>
      </c>
      <c r="T32" s="594">
        <v>1.24E-2</v>
      </c>
      <c r="U32" s="594">
        <v>1.6760000000000001E-2</v>
      </c>
      <c r="V32" s="594">
        <v>1.6590000000000001E-2</v>
      </c>
      <c r="W32" s="594">
        <v>4.3200000000000002E-2</v>
      </c>
      <c r="X32" s="594">
        <v>6.83E-2</v>
      </c>
      <c r="Y32" s="594">
        <v>9.5599999999999991E-2</v>
      </c>
      <c r="Z32" s="594">
        <v>0.10340000000000001</v>
      </c>
      <c r="AA32" s="594">
        <v>0.107</v>
      </c>
      <c r="AB32" s="594">
        <v>0.10829999999999999</v>
      </c>
      <c r="AC32" s="594">
        <v>0.1187</v>
      </c>
      <c r="AD32" s="594">
        <v>0.1087</v>
      </c>
      <c r="AE32" s="594">
        <v>0.1158</v>
      </c>
      <c r="AF32" s="594">
        <v>0.1167</v>
      </c>
      <c r="AG32" s="594">
        <v>0.107</v>
      </c>
      <c r="AH32" s="594">
        <v>9.9500000000000005E-2</v>
      </c>
      <c r="AI32" s="594">
        <v>0.10299999999999999</v>
      </c>
      <c r="AJ32" s="596">
        <v>0</v>
      </c>
    </row>
    <row r="33" spans="1:36" s="12" customFormat="1" ht="15.6">
      <c r="A33" s="587" t="s">
        <v>453</v>
      </c>
      <c r="B33" s="594">
        <v>0</v>
      </c>
      <c r="C33" s="594">
        <v>1.2999999999999999E-3</v>
      </c>
      <c r="D33" s="594">
        <v>0</v>
      </c>
      <c r="E33" s="594">
        <v>0</v>
      </c>
      <c r="F33" s="594">
        <v>6.3E-3</v>
      </c>
      <c r="G33" s="594">
        <v>8.0999999999999996E-3</v>
      </c>
      <c r="H33" s="594">
        <v>7.6E-3</v>
      </c>
      <c r="I33" s="594">
        <v>6.9000000000000008E-3</v>
      </c>
      <c r="J33" s="594">
        <v>5.7000000000000002E-3</v>
      </c>
      <c r="K33" s="594">
        <v>5.5999999999999999E-3</v>
      </c>
      <c r="L33" s="594">
        <v>4.7000000000000002E-3</v>
      </c>
      <c r="M33" s="594">
        <v>8.6999999999999994E-3</v>
      </c>
      <c r="N33" s="594">
        <v>1.1300000000000001E-2</v>
      </c>
      <c r="O33" s="594">
        <v>9.6999999999999986E-3</v>
      </c>
      <c r="P33" s="594">
        <v>1.2199999999999999E-2</v>
      </c>
      <c r="Q33" s="594">
        <v>1.6899999999999998E-2</v>
      </c>
      <c r="R33" s="594">
        <v>2.8500000000000001E-2</v>
      </c>
      <c r="S33" s="594">
        <v>3.2399999999999998E-2</v>
      </c>
      <c r="T33" s="594">
        <v>2.5499999999999998E-2</v>
      </c>
      <c r="U33" s="594">
        <v>4.41E-2</v>
      </c>
      <c r="V33" s="594">
        <v>0.12068999999999999</v>
      </c>
      <c r="W33" s="594">
        <v>0.22775000000000001</v>
      </c>
      <c r="X33" s="594">
        <v>0.37119999999999997</v>
      </c>
      <c r="Y33" s="594">
        <v>0.4849</v>
      </c>
      <c r="Z33" s="594">
        <v>0.59260000000000002</v>
      </c>
      <c r="AA33" s="594">
        <v>0.67770000000000008</v>
      </c>
      <c r="AB33" s="594">
        <v>0.75320000000000009</v>
      </c>
      <c r="AC33" s="594">
        <v>0.7853</v>
      </c>
      <c r="AD33" s="594">
        <v>0.81729999999999992</v>
      </c>
      <c r="AE33" s="594">
        <v>0.83140000000000003</v>
      </c>
      <c r="AF33" s="594">
        <v>0.86350000000000005</v>
      </c>
      <c r="AG33" s="594">
        <v>0.90189999999999992</v>
      </c>
      <c r="AH33" s="594">
        <v>0.9012</v>
      </c>
      <c r="AI33" s="594">
        <v>0.90979999999999994</v>
      </c>
      <c r="AJ33" s="596">
        <v>0</v>
      </c>
    </row>
    <row r="34" spans="1:36" s="12" customFormat="1" ht="15.6">
      <c r="A34" s="587" t="s">
        <v>454</v>
      </c>
      <c r="B34" s="594">
        <v>0</v>
      </c>
      <c r="C34" s="594">
        <v>0</v>
      </c>
      <c r="D34" s="594">
        <v>0</v>
      </c>
      <c r="E34" s="594">
        <v>0</v>
      </c>
      <c r="F34" s="594">
        <v>2.5000000000000001E-3</v>
      </c>
      <c r="G34" s="594">
        <v>2.5999999999999999E-3</v>
      </c>
      <c r="H34" s="594">
        <v>2.3999999999999998E-3</v>
      </c>
      <c r="I34" s="594">
        <v>2.3999999999999998E-3</v>
      </c>
      <c r="J34" s="594">
        <v>4.4999999999999997E-3</v>
      </c>
      <c r="K34" s="594">
        <v>3.3E-3</v>
      </c>
      <c r="L34" s="594">
        <v>3.7000000000000002E-3</v>
      </c>
      <c r="M34" s="594">
        <v>5.3E-3</v>
      </c>
      <c r="N34" s="594">
        <v>0.1019</v>
      </c>
      <c r="O34" s="594">
        <v>0.1024</v>
      </c>
      <c r="P34" s="594">
        <v>0.10970000000000001</v>
      </c>
      <c r="Q34" s="594">
        <v>0.11</v>
      </c>
      <c r="R34" s="594">
        <v>9.509999999999999E-2</v>
      </c>
      <c r="S34" s="594">
        <v>0.1125</v>
      </c>
      <c r="T34" s="594">
        <v>0.1177</v>
      </c>
      <c r="U34" s="594">
        <v>0.10940000000000001</v>
      </c>
      <c r="V34" s="594">
        <v>0.24825</v>
      </c>
      <c r="W34" s="594">
        <v>1.01065</v>
      </c>
      <c r="X34" s="594">
        <v>1.7432000000000001</v>
      </c>
      <c r="Y34" s="594">
        <v>3.0853000000000002</v>
      </c>
      <c r="Z34" s="594">
        <v>3.5565000000000002</v>
      </c>
      <c r="AA34" s="594">
        <v>3.8183000000000002</v>
      </c>
      <c r="AB34" s="594">
        <v>3.8403</v>
      </c>
      <c r="AC34" s="594">
        <v>3.8928000000000003</v>
      </c>
      <c r="AD34" s="594">
        <v>3.9338000000000002</v>
      </c>
      <c r="AE34" s="594">
        <v>3.9401999999999999</v>
      </c>
      <c r="AF34" s="594">
        <v>3.9803999999999999</v>
      </c>
      <c r="AG34" s="594">
        <v>4.1657000000000002</v>
      </c>
      <c r="AH34" s="594">
        <v>4.0625999999999998</v>
      </c>
      <c r="AI34" s="594">
        <v>3.9845999999999999</v>
      </c>
      <c r="AJ34" s="596">
        <v>0</v>
      </c>
    </row>
    <row r="35" spans="1:36" s="12" customFormat="1" ht="15.6">
      <c r="A35" s="589" t="s">
        <v>455</v>
      </c>
      <c r="B35" s="592">
        <v>0</v>
      </c>
      <c r="C35" s="592">
        <v>0</v>
      </c>
      <c r="D35" s="592">
        <v>0</v>
      </c>
      <c r="E35" s="592">
        <v>0</v>
      </c>
      <c r="F35" s="592">
        <v>0</v>
      </c>
      <c r="G35" s="592">
        <v>0</v>
      </c>
      <c r="H35" s="592">
        <v>0</v>
      </c>
      <c r="I35" s="592">
        <v>0</v>
      </c>
      <c r="J35" s="592">
        <v>0</v>
      </c>
      <c r="K35" s="592">
        <v>0</v>
      </c>
      <c r="L35" s="592">
        <v>0</v>
      </c>
      <c r="M35" s="592">
        <v>0</v>
      </c>
      <c r="N35" s="592">
        <v>0</v>
      </c>
      <c r="O35" s="592">
        <v>0</v>
      </c>
      <c r="P35" s="592">
        <v>0</v>
      </c>
      <c r="Q35" s="592">
        <v>0</v>
      </c>
      <c r="R35" s="592">
        <v>0</v>
      </c>
      <c r="S35" s="592">
        <v>0</v>
      </c>
      <c r="T35" s="592">
        <v>2.2100000000000002E-2</v>
      </c>
      <c r="U35" s="592">
        <v>0.47361999999999999</v>
      </c>
      <c r="V35" s="592">
        <v>0.94572000000000001</v>
      </c>
      <c r="W35" s="592">
        <v>0.82632000000000005</v>
      </c>
      <c r="X35" s="592">
        <v>0.74760000000000004</v>
      </c>
      <c r="Y35" s="592">
        <v>0.94450000000000001</v>
      </c>
      <c r="Z35" s="592">
        <v>1.2569000000000001</v>
      </c>
      <c r="AA35" s="592">
        <v>1.5010999999999999</v>
      </c>
      <c r="AB35" s="592">
        <v>1.4119000000000002</v>
      </c>
      <c r="AC35" s="592">
        <v>1.3835</v>
      </c>
      <c r="AD35" s="592">
        <v>1.4694</v>
      </c>
      <c r="AE35" s="592">
        <v>1.7351000000000001</v>
      </c>
      <c r="AF35" s="592">
        <f>SUM(AF36:AF37)</f>
        <v>1.7406999999999999</v>
      </c>
      <c r="AG35" s="592">
        <f>SUM(AG36:AG37)</f>
        <v>1.0932999999999999</v>
      </c>
      <c r="AH35" s="592">
        <f>SUM(AH36:AH37)</f>
        <v>0.59299999999999997</v>
      </c>
      <c r="AI35" s="592">
        <f>SUM(AI36:AI37)</f>
        <v>0.74470000000000014</v>
      </c>
      <c r="AJ35" s="598">
        <f>SUM(AJ36:AJ37)</f>
        <v>0</v>
      </c>
    </row>
    <row r="36" spans="1:36" s="12" customFormat="1" ht="15.6">
      <c r="A36" s="587" t="s">
        <v>456</v>
      </c>
      <c r="B36" s="594">
        <v>0</v>
      </c>
      <c r="C36" s="594">
        <v>0</v>
      </c>
      <c r="D36" s="594">
        <v>0</v>
      </c>
      <c r="E36" s="594">
        <v>0</v>
      </c>
      <c r="F36" s="594">
        <v>0</v>
      </c>
      <c r="G36" s="594">
        <v>0</v>
      </c>
      <c r="H36" s="594">
        <v>0</v>
      </c>
      <c r="I36" s="594">
        <v>0</v>
      </c>
      <c r="J36" s="594">
        <v>0</v>
      </c>
      <c r="K36" s="594">
        <v>0</v>
      </c>
      <c r="L36" s="594">
        <v>0</v>
      </c>
      <c r="M36" s="594">
        <v>0</v>
      </c>
      <c r="N36" s="594">
        <v>0</v>
      </c>
      <c r="O36" s="594">
        <v>0</v>
      </c>
      <c r="P36" s="594">
        <v>0</v>
      </c>
      <c r="Q36" s="594">
        <v>0</v>
      </c>
      <c r="R36" s="594">
        <v>0</v>
      </c>
      <c r="S36" s="594">
        <v>0</v>
      </c>
      <c r="T36" s="594">
        <v>1.7000000000000001E-2</v>
      </c>
      <c r="U36" s="594">
        <v>0.46655999999999997</v>
      </c>
      <c r="V36" s="594">
        <v>0.92250999999999994</v>
      </c>
      <c r="W36" s="594">
        <v>0.82211999999999996</v>
      </c>
      <c r="X36" s="594">
        <v>0.70450000000000002</v>
      </c>
      <c r="Y36" s="594">
        <v>0.87279999999999991</v>
      </c>
      <c r="Z36" s="594">
        <v>1.1429</v>
      </c>
      <c r="AA36" s="594">
        <v>1.3497999999999999</v>
      </c>
      <c r="AB36" s="594">
        <v>1.1719999999999999</v>
      </c>
      <c r="AC36" s="594">
        <v>1.1445999999999998</v>
      </c>
      <c r="AD36" s="594">
        <v>1.2095</v>
      </c>
      <c r="AE36" s="594">
        <v>1.4979</v>
      </c>
      <c r="AF36" s="594">
        <v>1.4918</v>
      </c>
      <c r="AG36" s="594">
        <v>0.93929999999999991</v>
      </c>
      <c r="AH36" s="594">
        <v>0.52079999999999993</v>
      </c>
      <c r="AI36" s="594">
        <v>0.6352000000000001</v>
      </c>
      <c r="AJ36" s="596">
        <v>0</v>
      </c>
    </row>
    <row r="37" spans="1:36" s="12" customFormat="1" ht="15.6">
      <c r="A37" s="587" t="s">
        <v>457</v>
      </c>
      <c r="B37" s="594">
        <v>0</v>
      </c>
      <c r="C37" s="594">
        <v>0</v>
      </c>
      <c r="D37" s="594">
        <v>0</v>
      </c>
      <c r="E37" s="594">
        <v>0</v>
      </c>
      <c r="F37" s="594">
        <v>0</v>
      </c>
      <c r="G37" s="594">
        <v>0</v>
      </c>
      <c r="H37" s="594">
        <v>0</v>
      </c>
      <c r="I37" s="594">
        <v>0</v>
      </c>
      <c r="J37" s="594">
        <v>0</v>
      </c>
      <c r="K37" s="594">
        <v>0</v>
      </c>
      <c r="L37" s="594">
        <v>0</v>
      </c>
      <c r="M37" s="594">
        <v>0</v>
      </c>
      <c r="N37" s="594">
        <v>0</v>
      </c>
      <c r="O37" s="594">
        <v>0</v>
      </c>
      <c r="P37" s="594">
        <v>0</v>
      </c>
      <c r="Q37" s="594">
        <v>0</v>
      </c>
      <c r="R37" s="594">
        <v>0</v>
      </c>
      <c r="S37" s="594">
        <v>0</v>
      </c>
      <c r="T37" s="594">
        <v>5.0999999999999995E-3</v>
      </c>
      <c r="U37" s="594">
        <v>7.0599999999999994E-3</v>
      </c>
      <c r="V37" s="594">
        <v>2.3210000000000001E-2</v>
      </c>
      <c r="W37" s="594">
        <v>4.2000000000000006E-3</v>
      </c>
      <c r="X37" s="594">
        <v>4.3099999999999999E-2</v>
      </c>
      <c r="Y37" s="594">
        <v>7.17E-2</v>
      </c>
      <c r="Z37" s="594">
        <v>0.114</v>
      </c>
      <c r="AA37" s="594">
        <v>0.15130000000000002</v>
      </c>
      <c r="AB37" s="594">
        <v>0.2399</v>
      </c>
      <c r="AC37" s="594">
        <v>0.2389</v>
      </c>
      <c r="AD37" s="594">
        <v>0.25989999999999996</v>
      </c>
      <c r="AE37" s="594">
        <v>0.23719999999999999</v>
      </c>
      <c r="AF37" s="594">
        <v>0.24890000000000001</v>
      </c>
      <c r="AG37" s="594">
        <v>0.154</v>
      </c>
      <c r="AH37" s="594">
        <v>7.22E-2</v>
      </c>
      <c r="AI37" s="594">
        <v>0.1095</v>
      </c>
      <c r="AJ37" s="596">
        <v>0</v>
      </c>
    </row>
    <row r="38" spans="1:36" s="12" customFormat="1" ht="15.6">
      <c r="A38" s="48" t="s">
        <v>398</v>
      </c>
      <c r="B38" s="591">
        <v>0</v>
      </c>
      <c r="C38" s="591">
        <v>0</v>
      </c>
      <c r="D38" s="591">
        <v>0</v>
      </c>
      <c r="E38" s="591">
        <v>0</v>
      </c>
      <c r="F38" s="591">
        <v>0</v>
      </c>
      <c r="G38" s="591">
        <v>0</v>
      </c>
      <c r="H38" s="591">
        <v>0</v>
      </c>
      <c r="I38" s="591">
        <v>0</v>
      </c>
      <c r="J38" s="591">
        <v>0</v>
      </c>
      <c r="K38" s="591">
        <v>0</v>
      </c>
      <c r="L38" s="591">
        <v>0</v>
      </c>
      <c r="M38" s="591">
        <v>0</v>
      </c>
      <c r="N38" s="591">
        <v>0</v>
      </c>
      <c r="O38" s="591">
        <v>0</v>
      </c>
      <c r="P38" s="591">
        <v>0</v>
      </c>
      <c r="Q38" s="591">
        <v>0</v>
      </c>
      <c r="R38" s="591">
        <v>0</v>
      </c>
      <c r="S38" s="591">
        <v>0</v>
      </c>
      <c r="T38" s="591">
        <v>0</v>
      </c>
      <c r="U38" s="591">
        <v>0</v>
      </c>
      <c r="V38" s="591">
        <v>0</v>
      </c>
      <c r="W38" s="591">
        <v>0</v>
      </c>
      <c r="X38" s="591">
        <v>0</v>
      </c>
      <c r="Y38" s="591">
        <v>0</v>
      </c>
      <c r="Z38" s="591">
        <v>0</v>
      </c>
      <c r="AA38" s="591">
        <v>0</v>
      </c>
      <c r="AB38" s="591">
        <v>0</v>
      </c>
      <c r="AC38" s="591">
        <v>1.6399999999999998E-2</v>
      </c>
      <c r="AD38" s="591">
        <v>0.05</v>
      </c>
      <c r="AE38" s="591">
        <v>0</v>
      </c>
      <c r="AF38" s="591">
        <v>0</v>
      </c>
      <c r="AG38" s="591">
        <v>0</v>
      </c>
      <c r="AH38" s="591">
        <v>0</v>
      </c>
      <c r="AI38" s="591">
        <v>0</v>
      </c>
      <c r="AJ38" s="597">
        <v>0</v>
      </c>
    </row>
    <row r="39" spans="1:36" s="12" customFormat="1" ht="15.6">
      <c r="A39" s="48" t="s">
        <v>10</v>
      </c>
      <c r="B39" s="591">
        <v>34.905500000000004</v>
      </c>
      <c r="C39" s="591">
        <v>45.531300000000002</v>
      </c>
      <c r="D39" s="591">
        <v>45.762</v>
      </c>
      <c r="E39" s="591">
        <v>45.210999999999999</v>
      </c>
      <c r="F39" s="591">
        <v>48.283050000000003</v>
      </c>
      <c r="G39" s="591">
        <v>41.542200000000001</v>
      </c>
      <c r="H39" s="591">
        <v>46.328799999999994</v>
      </c>
      <c r="I39" s="591">
        <v>46.331950000000006</v>
      </c>
      <c r="J39" s="591">
        <v>46.671500000000002</v>
      </c>
      <c r="K39" s="591">
        <v>51.676000000000002</v>
      </c>
      <c r="L39" s="591">
        <v>50.990850000000002</v>
      </c>
      <c r="M39" s="591">
        <v>54.472549999999998</v>
      </c>
      <c r="N39" s="591">
        <v>48.315350000000009</v>
      </c>
      <c r="O39" s="591">
        <v>47.078950000000006</v>
      </c>
      <c r="P39" s="591">
        <v>54.149500000000003</v>
      </c>
      <c r="Q39" s="591">
        <v>48.610649999999993</v>
      </c>
      <c r="R39" s="591">
        <v>50.813800000000001</v>
      </c>
      <c r="S39" s="591">
        <v>47.898949999999999</v>
      </c>
      <c r="T39" s="591">
        <v>58.163950000000007</v>
      </c>
      <c r="U39" s="591">
        <v>69.255420000000001</v>
      </c>
      <c r="V39" s="591">
        <v>76.964370000000002</v>
      </c>
      <c r="W39" s="591">
        <v>82.961460000000002</v>
      </c>
      <c r="X39" s="591">
        <v>92.222399999999993</v>
      </c>
      <c r="Y39" s="591">
        <v>112.00839999999999</v>
      </c>
      <c r="Z39" s="591">
        <v>120.679</v>
      </c>
      <c r="AA39" s="591">
        <v>108.9041</v>
      </c>
      <c r="AB39" s="591">
        <v>108.02200000000001</v>
      </c>
      <c r="AC39" s="591">
        <v>103.91409999999999</v>
      </c>
      <c r="AD39" s="591">
        <v>114.46473999999999</v>
      </c>
      <c r="AE39" s="591">
        <v>115.84699999999998</v>
      </c>
      <c r="AF39" s="591">
        <f>AF6+AF10+AF11+AF12+AF13+AF38</f>
        <v>116.91475732772005</v>
      </c>
      <c r="AG39" s="591">
        <f>AG6+AG10+AG11+AG12+AG13+AG38</f>
        <v>116.33898000000001</v>
      </c>
      <c r="AH39" s="591">
        <f>AH6+AH10+AH11+AH12+AH13+AH38</f>
        <v>100.46600000000001</v>
      </c>
      <c r="AI39" s="591">
        <f>AI6+AI10+AI11+AI12+AI13+AI38</f>
        <v>116.57860000000001</v>
      </c>
      <c r="AJ39" s="597">
        <f>AJ6+AJ10+AJ11+AJ12+AJ13+AJ38</f>
        <v>133.59024681760229</v>
      </c>
    </row>
    <row r="40" spans="1:36" ht="33" customHeight="1">
      <c r="A40" s="866" t="s">
        <v>399</v>
      </c>
      <c r="B40" s="866"/>
      <c r="C40" s="866"/>
      <c r="D40" s="866"/>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c r="AE40" s="866"/>
      <c r="AF40"/>
      <c r="AG40"/>
      <c r="AH40"/>
      <c r="AI40"/>
      <c r="AJ40"/>
    </row>
    <row r="42" spans="1:36">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row>
    <row r="43" spans="1:36" ht="15.6">
      <c r="A43" s="47" t="s">
        <v>559</v>
      </c>
      <c r="Z43" s="177"/>
    </row>
    <row r="44" spans="1:36" ht="16.2">
      <c r="A44" s="864" t="s">
        <v>54</v>
      </c>
      <c r="B44" s="72">
        <v>1990</v>
      </c>
      <c r="C44" s="73">
        <v>1991</v>
      </c>
      <c r="D44" s="73">
        <v>1992</v>
      </c>
      <c r="E44" s="73">
        <v>1993</v>
      </c>
      <c r="F44" s="73">
        <v>1994</v>
      </c>
      <c r="G44" s="67">
        <v>1995</v>
      </c>
      <c r="H44" s="73">
        <v>1996</v>
      </c>
      <c r="I44" s="73">
        <v>1997</v>
      </c>
      <c r="J44" s="73">
        <v>1998</v>
      </c>
      <c r="K44" s="73">
        <v>1999</v>
      </c>
      <c r="L44" s="67">
        <v>2000</v>
      </c>
      <c r="M44" s="73">
        <v>2001</v>
      </c>
      <c r="N44" s="73">
        <v>2002</v>
      </c>
      <c r="O44" s="73">
        <v>2003</v>
      </c>
      <c r="P44" s="73">
        <v>2004</v>
      </c>
      <c r="Q44" s="67">
        <v>2005</v>
      </c>
      <c r="R44" s="67">
        <v>2006</v>
      </c>
      <c r="S44" s="67">
        <v>2007</v>
      </c>
      <c r="T44" s="67">
        <v>2008</v>
      </c>
      <c r="U44" s="67">
        <v>2009</v>
      </c>
      <c r="V44" s="67">
        <v>2010</v>
      </c>
      <c r="W44" s="67">
        <v>2011</v>
      </c>
      <c r="X44" s="67">
        <v>2012</v>
      </c>
      <c r="Y44" s="67">
        <v>2013</v>
      </c>
      <c r="Z44" s="67">
        <v>2014</v>
      </c>
      <c r="AA44" s="67">
        <v>2015</v>
      </c>
      <c r="AB44" s="67">
        <v>2016</v>
      </c>
      <c r="AC44" s="67">
        <v>2017</v>
      </c>
      <c r="AD44" s="67">
        <v>2018</v>
      </c>
      <c r="AE44" s="67">
        <v>2019</v>
      </c>
      <c r="AF44" s="67">
        <v>2020</v>
      </c>
      <c r="AG44" s="67">
        <v>2021</v>
      </c>
      <c r="AH44" s="67">
        <v>2022</v>
      </c>
      <c r="AI44" s="67">
        <v>2023</v>
      </c>
      <c r="AJ44" s="352">
        <v>2024</v>
      </c>
    </row>
    <row r="45" spans="1:36" ht="15.6">
      <c r="A45" s="865"/>
      <c r="B45" s="74" t="s">
        <v>164</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row>
    <row r="46" spans="1:36" ht="15.6">
      <c r="A46" s="48" t="s">
        <v>1</v>
      </c>
      <c r="B46" s="180">
        <v>18.966000000000001</v>
      </c>
      <c r="C46" s="181" t="s">
        <v>165</v>
      </c>
      <c r="D46" s="181" t="s">
        <v>165</v>
      </c>
      <c r="E46" s="181" t="s">
        <v>165</v>
      </c>
      <c r="F46" s="181" t="s">
        <v>165</v>
      </c>
      <c r="G46" s="180">
        <v>20.073</v>
      </c>
      <c r="H46" s="181" t="s">
        <v>165</v>
      </c>
      <c r="I46" s="181" t="s">
        <v>165</v>
      </c>
      <c r="J46" s="181" t="s">
        <v>165</v>
      </c>
      <c r="K46" s="181" t="s">
        <v>165</v>
      </c>
      <c r="L46" s="180">
        <v>20.658300000000001</v>
      </c>
      <c r="M46" s="181" t="s">
        <v>165</v>
      </c>
      <c r="N46" s="181" t="s">
        <v>165</v>
      </c>
      <c r="O46" s="181" t="s">
        <v>165</v>
      </c>
      <c r="P46" s="181" t="s">
        <v>165</v>
      </c>
      <c r="Q46" s="180">
        <v>21.3428</v>
      </c>
      <c r="R46" s="180">
        <v>21.429099999999998</v>
      </c>
      <c r="S46" s="180">
        <v>21.4756</v>
      </c>
      <c r="T46" s="180">
        <v>21.640499999999999</v>
      </c>
      <c r="U46" s="180">
        <v>21.738499999999998</v>
      </c>
      <c r="V46" s="180">
        <v>21.8932</v>
      </c>
      <c r="W46" s="180">
        <v>22.109300000000001</v>
      </c>
      <c r="X46" s="180">
        <v>22.248999999999999</v>
      </c>
      <c r="Y46" s="180">
        <v>22.382899999999999</v>
      </c>
      <c r="Z46" s="180">
        <v>22.4345</v>
      </c>
      <c r="AA46" s="180">
        <v>22.560300000000002</v>
      </c>
      <c r="AB46" s="180">
        <v>22.658000000000001</v>
      </c>
      <c r="AC46" s="180">
        <v>22.837900000000001</v>
      </c>
      <c r="AD46" s="180">
        <v>22.910499999999999</v>
      </c>
      <c r="AE46" s="180">
        <v>22.9573</v>
      </c>
      <c r="AF46" s="180">
        <v>23.0809</v>
      </c>
      <c r="AG46" s="180">
        <v>23.147300000000001</v>
      </c>
      <c r="AH46" s="180">
        <v>23.209599999999998</v>
      </c>
      <c r="AI46" s="180">
        <v>24.209599999999998</v>
      </c>
      <c r="AJ46" s="353">
        <f>AI46*(1+AI46/AH46-1)</f>
        <v>25.252685619743549</v>
      </c>
    </row>
    <row r="47" spans="1:36" ht="16.2">
      <c r="A47" s="167" t="s">
        <v>467</v>
      </c>
      <c r="B47" s="182">
        <f>6.188/0.9855</f>
        <v>6.2790461694571276</v>
      </c>
      <c r="C47" s="181" t="s">
        <v>165</v>
      </c>
      <c r="D47" s="181" t="s">
        <v>165</v>
      </c>
      <c r="E47" s="181" t="s">
        <v>165</v>
      </c>
      <c r="F47" s="181" t="s">
        <v>165</v>
      </c>
      <c r="G47" s="180">
        <f>6.88/0.9855</f>
        <v>6.981227803145611</v>
      </c>
      <c r="H47" s="181" t="s">
        <v>165</v>
      </c>
      <c r="I47" s="181" t="s">
        <v>165</v>
      </c>
      <c r="J47" s="181" t="s">
        <v>165</v>
      </c>
      <c r="K47" s="181" t="s">
        <v>165</v>
      </c>
      <c r="L47" s="180">
        <v>7.0631000000000004</v>
      </c>
      <c r="M47" s="181" t="s">
        <v>165</v>
      </c>
      <c r="N47" s="181" t="s">
        <v>165</v>
      </c>
      <c r="O47" s="181" t="s">
        <v>165</v>
      </c>
      <c r="P47" s="181" t="s">
        <v>165</v>
      </c>
      <c r="Q47" s="180">
        <v>7.2111000000000001</v>
      </c>
      <c r="R47" s="180">
        <v>7.6590999999999996</v>
      </c>
      <c r="S47" s="180">
        <v>7.6590999999999996</v>
      </c>
      <c r="T47" s="180">
        <v>7.6590999999999996</v>
      </c>
      <c r="U47" s="180">
        <v>7.6590999999999996</v>
      </c>
      <c r="V47" s="180">
        <v>7.6590999999999996</v>
      </c>
      <c r="W47" s="180">
        <v>7.6590999999999996</v>
      </c>
      <c r="X47" s="180">
        <v>7.6691000000000003</v>
      </c>
      <c r="Y47" s="180">
        <v>7.6691000000000003</v>
      </c>
      <c r="Z47" s="180">
        <v>7.6691000000000003</v>
      </c>
      <c r="AA47" s="180">
        <v>7.6691000000000003</v>
      </c>
      <c r="AB47" s="180">
        <v>7.3785999999999996</v>
      </c>
      <c r="AC47" s="180">
        <v>7.3937999999999997</v>
      </c>
      <c r="AD47" s="180">
        <v>7.3937999999999997</v>
      </c>
      <c r="AE47" s="180">
        <v>7.3217999999999996</v>
      </c>
      <c r="AF47" s="180">
        <v>7.3285</v>
      </c>
      <c r="AG47" s="180">
        <v>7.2934999999999999</v>
      </c>
      <c r="AH47" s="180">
        <v>7.2979000000000003</v>
      </c>
      <c r="AI47" s="180">
        <v>8.2979000000000003</v>
      </c>
      <c r="AJ47" s="353">
        <f>AI47*(1+AI47/AH47-1)</f>
        <v>9.4349257197275911</v>
      </c>
    </row>
    <row r="48" spans="1:36" ht="15.6">
      <c r="A48" s="48" t="s">
        <v>55</v>
      </c>
      <c r="B48" s="180">
        <f>0.003/0.99685</f>
        <v>3.0094798615639263E-3</v>
      </c>
      <c r="C48" s="181" t="s">
        <v>165</v>
      </c>
      <c r="D48" s="181" t="s">
        <v>165</v>
      </c>
      <c r="E48" s="181" t="s">
        <v>165</v>
      </c>
      <c r="F48" s="181" t="s">
        <v>165</v>
      </c>
      <c r="G48" s="180">
        <f>0.022/0.99685</f>
        <v>2.2069518984802125E-2</v>
      </c>
      <c r="H48" s="181" t="s">
        <v>165</v>
      </c>
      <c r="I48" s="181" t="s">
        <v>165</v>
      </c>
      <c r="J48" s="181" t="s">
        <v>165</v>
      </c>
      <c r="K48" s="181" t="s">
        <v>165</v>
      </c>
      <c r="L48" s="180">
        <v>0.36343500000000001</v>
      </c>
      <c r="M48" s="181" t="s">
        <v>165</v>
      </c>
      <c r="N48" s="181" t="s">
        <v>165</v>
      </c>
      <c r="O48" s="181" t="s">
        <v>165</v>
      </c>
      <c r="P48" s="181" t="s">
        <v>165</v>
      </c>
      <c r="Q48" s="180">
        <v>1.6389549999999999</v>
      </c>
      <c r="R48" s="180">
        <v>1.9082870000000001</v>
      </c>
      <c r="S48" s="180">
        <v>2.7141280000000001</v>
      </c>
      <c r="T48" s="180">
        <v>3.5375779999999999</v>
      </c>
      <c r="U48" s="180">
        <v>4.8979379999999999</v>
      </c>
      <c r="V48" s="180">
        <v>5.8142810000000003</v>
      </c>
      <c r="W48" s="180">
        <v>6.9361459999999999</v>
      </c>
      <c r="X48" s="180">
        <v>8.1194009999999999</v>
      </c>
      <c r="Y48" s="180">
        <v>8.5608080000000015</v>
      </c>
      <c r="Z48" s="180">
        <v>8.7030770000000004</v>
      </c>
      <c r="AA48" s="180">
        <v>9.1619440000000001</v>
      </c>
      <c r="AB48" s="180">
        <v>9.4099339999999998</v>
      </c>
      <c r="AC48" s="180">
        <v>9.7658559999999994</v>
      </c>
      <c r="AD48" s="180">
        <v>10.26469</v>
      </c>
      <c r="AE48" s="180">
        <v>10.714754000000001</v>
      </c>
      <c r="AF48" s="180">
        <v>10.906855999999999</v>
      </c>
      <c r="AG48" s="180">
        <v>11.289804999999999</v>
      </c>
      <c r="AH48" s="180">
        <v>11.85843</v>
      </c>
      <c r="AI48" s="180">
        <v>12.335542999999999</v>
      </c>
      <c r="AJ48" s="726">
        <v>13.020543</v>
      </c>
    </row>
    <row r="49" spans="1:36" ht="15.6">
      <c r="A49" s="48" t="s">
        <v>56</v>
      </c>
      <c r="B49" s="180">
        <v>4.0000000000000001E-3</v>
      </c>
      <c r="C49" s="181" t="s">
        <v>165</v>
      </c>
      <c r="D49" s="181" t="s">
        <v>165</v>
      </c>
      <c r="E49" s="181" t="s">
        <v>165</v>
      </c>
      <c r="F49" s="181" t="s">
        <v>165</v>
      </c>
      <c r="G49" s="180">
        <v>1.6E-2</v>
      </c>
      <c r="H49" s="181" t="s">
        <v>165</v>
      </c>
      <c r="I49" s="181" t="s">
        <v>165</v>
      </c>
      <c r="J49" s="181" t="s">
        <v>165</v>
      </c>
      <c r="K49" s="181" t="s">
        <v>165</v>
      </c>
      <c r="L49" s="180">
        <v>1.9E-2</v>
      </c>
      <c r="M49" s="181" t="s">
        <v>165</v>
      </c>
      <c r="N49" s="181" t="s">
        <v>165</v>
      </c>
      <c r="O49" s="181" t="s">
        <v>165</v>
      </c>
      <c r="P49" s="181" t="s">
        <v>165</v>
      </c>
      <c r="Q49" s="180">
        <v>3.4000000000000002E-2</v>
      </c>
      <c r="R49" s="180">
        <v>4.4999999999999998E-2</v>
      </c>
      <c r="S49" s="180">
        <v>0.11</v>
      </c>
      <c r="T49" s="180">
        <v>0.48299999999999998</v>
      </c>
      <c r="U49" s="180">
        <v>1.264</v>
      </c>
      <c r="V49" s="180">
        <v>3.5920000000000001</v>
      </c>
      <c r="W49" s="180">
        <v>13.131</v>
      </c>
      <c r="X49" s="180">
        <v>16.785</v>
      </c>
      <c r="Y49" s="180">
        <v>18.185465000000001</v>
      </c>
      <c r="Z49" s="180">
        <v>18.594377000000001</v>
      </c>
      <c r="AA49" s="180">
        <v>18.892130000000002</v>
      </c>
      <c r="AB49" s="180">
        <v>19.283173000000001</v>
      </c>
      <c r="AC49" s="180">
        <v>19.682293000000001</v>
      </c>
      <c r="AD49" s="180">
        <v>20.107588</v>
      </c>
      <c r="AE49" s="180">
        <v>20.865275</v>
      </c>
      <c r="AF49" s="180">
        <v>21.650034999999999</v>
      </c>
      <c r="AG49" s="180">
        <v>22.594258999999997</v>
      </c>
      <c r="AH49" s="180">
        <v>25.063919000000002</v>
      </c>
      <c r="AI49" s="180">
        <v>30.319418000000002</v>
      </c>
      <c r="AJ49" s="726">
        <v>37.114418000000008</v>
      </c>
    </row>
    <row r="50" spans="1:36" ht="15.6">
      <c r="A50" s="48" t="s">
        <v>2</v>
      </c>
      <c r="B50" s="180">
        <v>0.51400000000000001</v>
      </c>
      <c r="C50" s="181" t="s">
        <v>165</v>
      </c>
      <c r="D50" s="181" t="s">
        <v>165</v>
      </c>
      <c r="E50" s="181" t="s">
        <v>165</v>
      </c>
      <c r="F50" s="181" t="s">
        <v>165</v>
      </c>
      <c r="G50" s="180">
        <v>0.495</v>
      </c>
      <c r="H50" s="181" t="s">
        <v>165</v>
      </c>
      <c r="I50" s="181" t="s">
        <v>165</v>
      </c>
      <c r="J50" s="181" t="s">
        <v>165</v>
      </c>
      <c r="K50" s="181" t="s">
        <v>165</v>
      </c>
      <c r="L50" s="180">
        <v>0.62649999999999995</v>
      </c>
      <c r="M50" s="181" t="s">
        <v>165</v>
      </c>
      <c r="N50" s="181" t="s">
        <v>165</v>
      </c>
      <c r="O50" s="181" t="s">
        <v>165</v>
      </c>
      <c r="P50" s="181" t="s">
        <v>165</v>
      </c>
      <c r="Q50" s="180">
        <v>0.71099999999999997</v>
      </c>
      <c r="R50" s="180">
        <v>0.71099999999999997</v>
      </c>
      <c r="S50" s="180">
        <v>0.71099999999999997</v>
      </c>
      <c r="T50" s="180">
        <v>0.71099999999999997</v>
      </c>
      <c r="U50" s="180">
        <v>0.73699999999999999</v>
      </c>
      <c r="V50" s="180">
        <v>0.77200000000000002</v>
      </c>
      <c r="W50" s="180">
        <v>0.77200000000000002</v>
      </c>
      <c r="X50" s="180">
        <v>0.77200000000000002</v>
      </c>
      <c r="Y50" s="180">
        <v>0.77298999999999995</v>
      </c>
      <c r="Z50" s="180">
        <v>0.82099</v>
      </c>
      <c r="AA50" s="180">
        <v>0.82099</v>
      </c>
      <c r="AB50" s="180">
        <v>0.81459000000000004</v>
      </c>
      <c r="AC50" s="180">
        <v>0.81308999999999998</v>
      </c>
      <c r="AD50" s="180">
        <v>0.81308999999999998</v>
      </c>
      <c r="AE50" s="180">
        <v>0.81308999999999998</v>
      </c>
      <c r="AF50" s="180">
        <v>0.81708999999999998</v>
      </c>
      <c r="AG50" s="180">
        <v>0.81708999999999998</v>
      </c>
      <c r="AH50" s="180">
        <v>0.81708999999999998</v>
      </c>
      <c r="AI50" s="180">
        <v>0.81708999999999998</v>
      </c>
      <c r="AJ50" s="726">
        <v>0.81842989267280775</v>
      </c>
    </row>
    <row r="51" spans="1:36" ht="15.6">
      <c r="A51" s="48" t="s">
        <v>163</v>
      </c>
      <c r="B51" s="180">
        <f>B13/($L$13/$L$51)</f>
        <v>2.344727858828221E-2</v>
      </c>
      <c r="C51" s="181" t="s">
        <v>165</v>
      </c>
      <c r="D51" s="181" t="s">
        <v>165</v>
      </c>
      <c r="E51" s="181" t="s">
        <v>165</v>
      </c>
      <c r="F51" s="181" t="s">
        <v>165</v>
      </c>
      <c r="G51" s="180">
        <f>G13/($L$13/$L$51)</f>
        <v>0.13790642105612974</v>
      </c>
      <c r="H51" s="181" t="s">
        <v>165</v>
      </c>
      <c r="I51" s="181" t="s">
        <v>165</v>
      </c>
      <c r="J51" s="181" t="s">
        <v>165</v>
      </c>
      <c r="K51" s="181" t="s">
        <v>165</v>
      </c>
      <c r="L51" s="180">
        <v>0.685002</v>
      </c>
      <c r="M51" s="181" t="s">
        <v>165</v>
      </c>
      <c r="N51" s="181" t="s">
        <v>165</v>
      </c>
      <c r="O51" s="181" t="s">
        <v>165</v>
      </c>
      <c r="P51" s="181" t="s">
        <v>165</v>
      </c>
      <c r="Q51" s="180">
        <v>1.19485</v>
      </c>
      <c r="R51" s="180">
        <v>1.255525</v>
      </c>
      <c r="S51" s="180">
        <v>1.3368820000000001</v>
      </c>
      <c r="T51" s="180">
        <v>1.555342</v>
      </c>
      <c r="U51" s="180">
        <v>2.018554</v>
      </c>
      <c r="V51" s="180">
        <v>2.3515450000000002</v>
      </c>
      <c r="W51" s="180">
        <v>2.8253300000000001</v>
      </c>
      <c r="X51" s="180">
        <v>3.8015729999999999</v>
      </c>
      <c r="Y51" s="180">
        <v>4.0334219999999998</v>
      </c>
      <c r="Z51" s="180">
        <v>4.0436360000000002</v>
      </c>
      <c r="AA51" s="180">
        <v>4.0565369999999996</v>
      </c>
      <c r="AB51" s="180">
        <v>4.1240800000000002</v>
      </c>
      <c r="AC51" s="180">
        <v>4.1350340000000001</v>
      </c>
      <c r="AD51" s="180">
        <v>4.1803960000000009</v>
      </c>
      <c r="AE51" s="180">
        <v>4.1197410000000003</v>
      </c>
      <c r="AF51" s="180">
        <v>4.1059310000000009</v>
      </c>
      <c r="AG51" s="180">
        <v>4.1060245599999998</v>
      </c>
      <c r="AH51" s="180">
        <v>4.0500929999999995</v>
      </c>
      <c r="AI51" s="180">
        <v>4.0787599999999999</v>
      </c>
      <c r="AJ51" s="726">
        <v>4.0650611873040887</v>
      </c>
    </row>
    <row r="52" spans="1:36" ht="15.6">
      <c r="A52" s="48" t="s">
        <v>10</v>
      </c>
      <c r="B52" s="183">
        <f>SUM(B46,B48:B51)</f>
        <v>19.510456758449848</v>
      </c>
      <c r="C52" s="184" t="s">
        <v>165</v>
      </c>
      <c r="D52" s="184" t="s">
        <v>165</v>
      </c>
      <c r="E52" s="184" t="s">
        <v>165</v>
      </c>
      <c r="F52" s="184" t="s">
        <v>165</v>
      </c>
      <c r="G52" s="183">
        <f>SUM(G46,G48:G51)</f>
        <v>20.743975940040933</v>
      </c>
      <c r="H52" s="184" t="s">
        <v>165</v>
      </c>
      <c r="I52" s="184" t="s">
        <v>165</v>
      </c>
      <c r="J52" s="184" t="s">
        <v>165</v>
      </c>
      <c r="K52" s="184" t="s">
        <v>165</v>
      </c>
      <c r="L52" s="183">
        <f>SUM(L46,L48:L51)</f>
        <v>22.352236999999999</v>
      </c>
      <c r="M52" s="184" t="s">
        <v>165</v>
      </c>
      <c r="N52" s="184" t="s">
        <v>165</v>
      </c>
      <c r="O52" s="184" t="s">
        <v>165</v>
      </c>
      <c r="P52" s="184" t="s">
        <v>165</v>
      </c>
      <c r="Q52" s="183">
        <f t="shared" ref="Q52:AE52" si="0">SUM(Q46,Q48:Q51)</f>
        <v>24.921604999999996</v>
      </c>
      <c r="R52" s="183">
        <f t="shared" si="0"/>
        <v>25.348911999999999</v>
      </c>
      <c r="S52" s="183">
        <f t="shared" si="0"/>
        <v>26.347609999999996</v>
      </c>
      <c r="T52" s="183">
        <f t="shared" si="0"/>
        <v>27.927419999999998</v>
      </c>
      <c r="U52" s="183">
        <f t="shared" si="0"/>
        <v>30.655991999999998</v>
      </c>
      <c r="V52" s="183">
        <f t="shared" si="0"/>
        <v>34.423026</v>
      </c>
      <c r="W52" s="183">
        <f t="shared" si="0"/>
        <v>45.773775999999998</v>
      </c>
      <c r="X52" s="183">
        <f t="shared" si="0"/>
        <v>51.726973999999998</v>
      </c>
      <c r="Y52" s="183">
        <f t="shared" si="0"/>
        <v>53.935585000000003</v>
      </c>
      <c r="Z52" s="183">
        <f t="shared" si="0"/>
        <v>54.596580000000003</v>
      </c>
      <c r="AA52" s="183">
        <f t="shared" si="0"/>
        <v>55.491901000000006</v>
      </c>
      <c r="AB52" s="183">
        <f t="shared" si="0"/>
        <v>56.289777000000001</v>
      </c>
      <c r="AC52" s="183">
        <f t="shared" si="0"/>
        <v>57.234173000000006</v>
      </c>
      <c r="AD52" s="183">
        <f t="shared" si="0"/>
        <v>58.276264000000005</v>
      </c>
      <c r="AE52" s="183">
        <f t="shared" si="0"/>
        <v>59.47016</v>
      </c>
      <c r="AF52" s="183">
        <f>SUM(AF46,AF48:AF51)</f>
        <v>60.560811999999991</v>
      </c>
      <c r="AG52" s="183">
        <f>SUM(AG46,AG48:AG51)</f>
        <v>61.954478559999998</v>
      </c>
      <c r="AH52" s="183">
        <f>SUM(AH46,AH48:AH51)</f>
        <v>64.999132000000003</v>
      </c>
      <c r="AI52" s="183">
        <f>SUM(AI46,AI48:AI51)</f>
        <v>71.760410999999991</v>
      </c>
      <c r="AJ52" s="727">
        <f>SUM(AJ46,AJ48:AJ51)</f>
        <v>80.271137699720441</v>
      </c>
    </row>
    <row r="53" spans="1:36">
      <c r="B53" s="144"/>
    </row>
    <row r="54" spans="1:36">
      <c r="B54" s="90">
        <f>+B52-B47/1.76</f>
        <v>15.942816889440117</v>
      </c>
      <c r="G54" s="90">
        <f>+G52-G47/1.76</f>
        <v>16.7773692337082</v>
      </c>
      <c r="L54" s="90">
        <f>+L52-L47/1.76</f>
        <v>18.339112</v>
      </c>
      <c r="Q54" s="177"/>
    </row>
    <row r="56" spans="1:36" ht="15.6">
      <c r="A56" s="47" t="s">
        <v>272</v>
      </c>
    </row>
    <row r="57" spans="1:36" ht="16.2">
      <c r="A57" s="864" t="s">
        <v>54</v>
      </c>
      <c r="B57" s="72">
        <v>1990</v>
      </c>
      <c r="C57" s="73">
        <v>1991</v>
      </c>
      <c r="D57" s="73">
        <v>1992</v>
      </c>
      <c r="E57" s="73">
        <v>1993</v>
      </c>
      <c r="F57" s="73">
        <v>1994</v>
      </c>
      <c r="G57" s="67">
        <v>1995</v>
      </c>
      <c r="H57" s="73">
        <v>1996</v>
      </c>
      <c r="I57" s="73">
        <v>1997</v>
      </c>
      <c r="J57" s="73">
        <v>1998</v>
      </c>
      <c r="K57" s="73">
        <v>1999</v>
      </c>
      <c r="L57" s="67">
        <v>2000</v>
      </c>
      <c r="M57" s="73">
        <v>2001</v>
      </c>
      <c r="N57" s="73">
        <v>2002</v>
      </c>
      <c r="O57" s="73">
        <v>2003</v>
      </c>
      <c r="P57" s="73">
        <v>2004</v>
      </c>
      <c r="Q57" s="67">
        <v>2005</v>
      </c>
      <c r="R57" s="67">
        <v>2006</v>
      </c>
      <c r="S57" s="67">
        <v>2007</v>
      </c>
      <c r="T57" s="67">
        <v>2008</v>
      </c>
      <c r="U57" s="67">
        <v>2009</v>
      </c>
      <c r="V57" s="67">
        <v>2010</v>
      </c>
      <c r="W57" s="67">
        <v>2011</v>
      </c>
      <c r="X57" s="67">
        <v>2012</v>
      </c>
      <c r="Y57" s="67">
        <v>2013</v>
      </c>
      <c r="Z57" s="67">
        <v>2014</v>
      </c>
      <c r="AA57" s="67">
        <v>2015</v>
      </c>
      <c r="AB57" s="67">
        <v>2016</v>
      </c>
      <c r="AC57" s="67">
        <v>2017</v>
      </c>
      <c r="AD57" s="67">
        <v>2018</v>
      </c>
      <c r="AE57" s="67">
        <v>2019</v>
      </c>
      <c r="AF57" s="67">
        <v>2020</v>
      </c>
      <c r="AG57" s="67">
        <v>2021</v>
      </c>
      <c r="AH57" s="67">
        <v>2022</v>
      </c>
      <c r="AI57" s="67">
        <v>2023</v>
      </c>
      <c r="AJ57" s="352">
        <v>2024</v>
      </c>
    </row>
    <row r="58" spans="1:36" ht="18">
      <c r="A58" s="865"/>
      <c r="B58" s="87" t="s">
        <v>273</v>
      </c>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350"/>
    </row>
    <row r="59" spans="1:36" ht="15.6">
      <c r="A59" s="48" t="s">
        <v>363</v>
      </c>
      <c r="B59" s="291">
        <f t="shared" ref="B59:AF59" si="1">B6/(B46-B47)*1000</f>
        <v>2492.7969646947731</v>
      </c>
      <c r="C59" s="291"/>
      <c r="D59" s="291"/>
      <c r="E59" s="291"/>
      <c r="F59" s="291"/>
      <c r="G59" s="291">
        <f t="shared" si="1"/>
        <v>2885.8430647821492</v>
      </c>
      <c r="H59" s="291"/>
      <c r="I59" s="291"/>
      <c r="J59" s="291"/>
      <c r="K59" s="291"/>
      <c r="L59" s="291">
        <f t="shared" si="1"/>
        <v>3251.147463810757</v>
      </c>
      <c r="M59" s="291"/>
      <c r="N59" s="291"/>
      <c r="O59" s="291"/>
      <c r="P59" s="291"/>
      <c r="Q59" s="291">
        <f t="shared" si="1"/>
        <v>2552.1840967470293</v>
      </c>
      <c r="R59" s="291">
        <f t="shared" si="1"/>
        <v>2686.5940450254175</v>
      </c>
      <c r="S59" s="291">
        <f t="shared" si="1"/>
        <v>2375.0732819454993</v>
      </c>
      <c r="T59" s="291">
        <f t="shared" si="1"/>
        <v>2977.0266210822947</v>
      </c>
      <c r="U59" s="291">
        <f t="shared" si="1"/>
        <v>3490.0279841470519</v>
      </c>
      <c r="V59" s="291">
        <f t="shared" si="1"/>
        <v>3591.1494228648098</v>
      </c>
      <c r="W59" s="291">
        <f t="shared" si="1"/>
        <v>3171.0744487965562</v>
      </c>
      <c r="X59" s="291">
        <f t="shared" si="1"/>
        <v>2872.0978881885335</v>
      </c>
      <c r="Y59" s="291">
        <f t="shared" si="1"/>
        <v>3586.6601421794512</v>
      </c>
      <c r="Z59" s="291">
        <f t="shared" si="1"/>
        <v>3965.0398905549464</v>
      </c>
      <c r="AA59" s="291">
        <f t="shared" si="1"/>
        <v>3058.0006983990543</v>
      </c>
      <c r="AB59" s="291">
        <f t="shared" si="1"/>
        <v>2777.0593086115946</v>
      </c>
      <c r="AC59" s="291">
        <f t="shared" si="1"/>
        <v>2343.8529924048657</v>
      </c>
      <c r="AD59" s="291">
        <f t="shared" si="1"/>
        <v>3144.1311619094263</v>
      </c>
      <c r="AE59" s="291">
        <f t="shared" si="1"/>
        <v>2962.3932717214034</v>
      </c>
      <c r="AF59" s="291">
        <f t="shared" si="1"/>
        <v>3018.7009171757986</v>
      </c>
      <c r="AG59" s="291">
        <f>AG6/(AG46-AG47)*1000</f>
        <v>2862.916146286695</v>
      </c>
      <c r="AH59" s="291">
        <f>AH6/(AH46-AH47)*1000</f>
        <v>1784.6993093132726</v>
      </c>
      <c r="AI59" s="291">
        <f>AI6/(AI46-AI47)*1000</f>
        <v>2546.3841072921191</v>
      </c>
      <c r="AJ59" s="354">
        <f>AJ6/(AJ46-AJ47)*1000</f>
        <v>3347.4825381160053</v>
      </c>
    </row>
    <row r="60" spans="1:36" ht="15.6">
      <c r="A60" s="48" t="s">
        <v>55</v>
      </c>
      <c r="B60" s="291">
        <f t="shared" ref="B60:AF60" si="2">B10/B48*1000</f>
        <v>664.56666666666661</v>
      </c>
      <c r="C60" s="291"/>
      <c r="D60" s="291"/>
      <c r="E60" s="291"/>
      <c r="F60" s="291"/>
      <c r="G60" s="291">
        <f t="shared" si="2"/>
        <v>448.58250000000004</v>
      </c>
      <c r="H60" s="291"/>
      <c r="I60" s="291"/>
      <c r="J60" s="291"/>
      <c r="K60" s="291"/>
      <c r="L60" s="291">
        <f t="shared" si="2"/>
        <v>1549.3829708200917</v>
      </c>
      <c r="M60" s="291"/>
      <c r="N60" s="291"/>
      <c r="O60" s="291"/>
      <c r="P60" s="291"/>
      <c r="Q60" s="291">
        <f t="shared" si="2"/>
        <v>1429.8135092177638</v>
      </c>
      <c r="R60" s="291">
        <f t="shared" si="2"/>
        <v>1556.7364867024717</v>
      </c>
      <c r="S60" s="291">
        <f t="shared" si="2"/>
        <v>1486.4442649720277</v>
      </c>
      <c r="T60" s="291">
        <f t="shared" si="2"/>
        <v>1374.1887811378292</v>
      </c>
      <c r="U60" s="291">
        <f t="shared" si="2"/>
        <v>1335.8478608753314</v>
      </c>
      <c r="V60" s="291">
        <f t="shared" si="2"/>
        <v>1569.5663831865024</v>
      </c>
      <c r="W60" s="291">
        <f t="shared" si="2"/>
        <v>1421.0196844184075</v>
      </c>
      <c r="X60" s="291">
        <f t="shared" si="2"/>
        <v>1651.2424992927436</v>
      </c>
      <c r="Y60" s="291">
        <f t="shared" si="2"/>
        <v>1740.1394821610295</v>
      </c>
      <c r="Z60" s="291">
        <f t="shared" si="2"/>
        <v>1744.0153637615754</v>
      </c>
      <c r="AA60" s="291">
        <f t="shared" si="2"/>
        <v>1620.1692566555744</v>
      </c>
      <c r="AB60" s="291">
        <f t="shared" si="2"/>
        <v>1879.7900176558094</v>
      </c>
      <c r="AC60" s="291">
        <f t="shared" si="2"/>
        <v>1816.7275863989805</v>
      </c>
      <c r="AD60" s="291">
        <f t="shared" si="2"/>
        <v>1725.9556791291311</v>
      </c>
      <c r="AE60" s="291">
        <f t="shared" si="2"/>
        <v>1885.4375938075666</v>
      </c>
      <c r="AF60" s="291">
        <f t="shared" si="2"/>
        <v>1720.1617954798342</v>
      </c>
      <c r="AG60" s="291">
        <f t="shared" ref="AG60:AH63" si="3">AG10/AG48*1000</f>
        <v>1853.6458335639986</v>
      </c>
      <c r="AH60" s="291">
        <f t="shared" si="3"/>
        <v>1728.2388984039201</v>
      </c>
      <c r="AI60" s="291">
        <f t="shared" ref="AI60" si="4">AI10/AI48*1000</f>
        <v>1916.453941265496</v>
      </c>
      <c r="AJ60" s="354">
        <f t="shared" ref="AJ60:AJ63" si="5">AJ10/AJ48*1000</f>
        <v>1713.6710300146635</v>
      </c>
    </row>
    <row r="61" spans="1:36" ht="15.6">
      <c r="A61" s="48" t="s">
        <v>56</v>
      </c>
      <c r="B61" s="291">
        <f t="shared" ref="B61:AF61" si="6">B11/B49*1000</f>
        <v>1000</v>
      </c>
      <c r="C61" s="291"/>
      <c r="D61" s="291"/>
      <c r="E61" s="291"/>
      <c r="F61" s="291"/>
      <c r="G61" s="291">
        <f t="shared" si="6"/>
        <v>812.5</v>
      </c>
      <c r="H61" s="291"/>
      <c r="I61" s="291"/>
      <c r="J61" s="291"/>
      <c r="K61" s="291"/>
      <c r="L61" s="291">
        <f t="shared" si="6"/>
        <v>947.36842105263156</v>
      </c>
      <c r="M61" s="291"/>
      <c r="N61" s="291"/>
      <c r="O61" s="291"/>
      <c r="P61" s="291"/>
      <c r="Q61" s="291">
        <f t="shared" si="6"/>
        <v>911.76470588235293</v>
      </c>
      <c r="R61" s="291">
        <f t="shared" si="6"/>
        <v>777.77777777777794</v>
      </c>
      <c r="S61" s="291">
        <f t="shared" si="6"/>
        <v>354.54545454545456</v>
      </c>
      <c r="T61" s="291">
        <f t="shared" si="6"/>
        <v>399.5859213250518</v>
      </c>
      <c r="U61" s="291">
        <f t="shared" si="6"/>
        <v>535.20569620253161</v>
      </c>
      <c r="V61" s="291">
        <f t="shared" si="6"/>
        <v>530.54008908685967</v>
      </c>
      <c r="W61" s="291">
        <f t="shared" si="6"/>
        <v>822.15368212626606</v>
      </c>
      <c r="X61" s="291">
        <f t="shared" si="6"/>
        <v>1123.723562704796</v>
      </c>
      <c r="Y61" s="291">
        <f t="shared" si="6"/>
        <v>1187.1348904193542</v>
      </c>
      <c r="Z61" s="291">
        <f t="shared" si="6"/>
        <v>1199.6314799898914</v>
      </c>
      <c r="AA61" s="291">
        <f t="shared" si="6"/>
        <v>1214.3786857278665</v>
      </c>
      <c r="AB61" s="291">
        <f t="shared" si="6"/>
        <v>1146.2999372561765</v>
      </c>
      <c r="AC61" s="291">
        <f t="shared" si="6"/>
        <v>1238.5599584357371</v>
      </c>
      <c r="AD61" s="291">
        <f t="shared" si="6"/>
        <v>1126.6294097531736</v>
      </c>
      <c r="AE61" s="291">
        <f t="shared" si="6"/>
        <v>1135.3265173835475</v>
      </c>
      <c r="AF61" s="291">
        <f t="shared" si="6"/>
        <v>1152.0306549158006</v>
      </c>
      <c r="AG61" s="291">
        <f t="shared" si="3"/>
        <v>1108.2018666777258</v>
      </c>
      <c r="AH61" s="291">
        <f t="shared" si="3"/>
        <v>1121.9913374281173</v>
      </c>
      <c r="AI61" s="291">
        <f t="shared" ref="AI61" si="7">AI11/AI49*1000</f>
        <v>1012.9185197420345</v>
      </c>
      <c r="AJ61" s="354">
        <f t="shared" si="5"/>
        <v>987.97913248328121</v>
      </c>
    </row>
    <row r="62" spans="1:36" ht="15.6">
      <c r="A62" s="48" t="s">
        <v>2</v>
      </c>
      <c r="B62" s="291">
        <f t="shared" ref="B62:AF62" si="8">B12/B50*1000</f>
        <v>6268.4824902723731</v>
      </c>
      <c r="C62" s="291"/>
      <c r="D62" s="291"/>
      <c r="E62" s="291"/>
      <c r="F62" s="291"/>
      <c r="G62" s="291">
        <f t="shared" si="8"/>
        <v>6940.6060606060601</v>
      </c>
      <c r="H62" s="291"/>
      <c r="I62" s="291"/>
      <c r="J62" s="291"/>
      <c r="K62" s="291"/>
      <c r="L62" s="291">
        <f t="shared" si="8"/>
        <v>7510.2952913008776</v>
      </c>
      <c r="M62" s="291"/>
      <c r="N62" s="291"/>
      <c r="O62" s="291"/>
      <c r="P62" s="291"/>
      <c r="Q62" s="291">
        <f t="shared" si="8"/>
        <v>7488.7482419127982</v>
      </c>
      <c r="R62" s="291">
        <f t="shared" si="8"/>
        <v>7774.1209563994371</v>
      </c>
      <c r="S62" s="291">
        <f t="shared" si="8"/>
        <v>7832.7707454289748</v>
      </c>
      <c r="T62" s="291">
        <f t="shared" si="8"/>
        <v>7764.1350210970468</v>
      </c>
      <c r="U62" s="291">
        <f t="shared" si="8"/>
        <v>7248.0325644504746</v>
      </c>
      <c r="V62" s="291">
        <f t="shared" si="8"/>
        <v>6963.6010362694296</v>
      </c>
      <c r="W62" s="291">
        <f t="shared" si="8"/>
        <v>7324.2227979274612</v>
      </c>
      <c r="X62" s="291">
        <f t="shared" si="8"/>
        <v>7243.1347150259053</v>
      </c>
      <c r="Y62" s="291">
        <f t="shared" si="8"/>
        <v>7321.1813865638633</v>
      </c>
      <c r="Z62" s="291">
        <f t="shared" si="8"/>
        <v>7206.2997113241336</v>
      </c>
      <c r="AA62" s="291">
        <f t="shared" si="8"/>
        <v>7533.5874980206827</v>
      </c>
      <c r="AB62" s="291">
        <f t="shared" si="8"/>
        <v>7719.9572791220126</v>
      </c>
      <c r="AC62" s="291">
        <f t="shared" si="8"/>
        <v>7626.707990505357</v>
      </c>
      <c r="AD62" s="291">
        <f t="shared" si="8"/>
        <v>7508.8858551943813</v>
      </c>
      <c r="AE62" s="291">
        <f t="shared" si="8"/>
        <v>7471.3746325744996</v>
      </c>
      <c r="AF62" s="291">
        <f t="shared" si="8"/>
        <v>7375.0896474072633</v>
      </c>
      <c r="AG62" s="291">
        <f t="shared" si="3"/>
        <v>7237.6360009301306</v>
      </c>
      <c r="AH62" s="291">
        <f t="shared" si="3"/>
        <v>7143.5215214970203</v>
      </c>
      <c r="AI62" s="291">
        <f t="shared" ref="AI62" si="9">AI12/AI50*1000</f>
        <v>6966.4296466729484</v>
      </c>
      <c r="AJ62" s="354">
        <f t="shared" si="5"/>
        <v>6893.5335552568185</v>
      </c>
    </row>
    <row r="63" spans="1:36" ht="15.6">
      <c r="A63" s="48" t="s">
        <v>163</v>
      </c>
      <c r="B63" s="291">
        <f t="shared" ref="B63:AF63" si="10">B13/B51*1000</f>
        <v>2196.4169447680442</v>
      </c>
      <c r="C63" s="291"/>
      <c r="D63" s="291"/>
      <c r="E63" s="291"/>
      <c r="F63" s="291"/>
      <c r="G63" s="291">
        <f t="shared" si="10"/>
        <v>2196.4169447680442</v>
      </c>
      <c r="H63" s="291"/>
      <c r="I63" s="291"/>
      <c r="J63" s="291"/>
      <c r="K63" s="291"/>
      <c r="L63" s="291">
        <f t="shared" si="10"/>
        <v>2196.4169447680442</v>
      </c>
      <c r="M63" s="291"/>
      <c r="N63" s="291"/>
      <c r="O63" s="291"/>
      <c r="P63" s="291"/>
      <c r="Q63" s="291">
        <f t="shared" si="10"/>
        <v>4054.9441352471022</v>
      </c>
      <c r="R63" s="291">
        <f t="shared" si="10"/>
        <v>4210.4298998426957</v>
      </c>
      <c r="S63" s="291">
        <f t="shared" si="10"/>
        <v>4070.1049157666871</v>
      </c>
      <c r="T63" s="291">
        <f t="shared" si="10"/>
        <v>3836.0373474129806</v>
      </c>
      <c r="U63" s="291">
        <f t="shared" si="10"/>
        <v>3743.6303413235414</v>
      </c>
      <c r="V63" s="291">
        <f t="shared" si="10"/>
        <v>4014.4203066494574</v>
      </c>
      <c r="W63" s="291">
        <f t="shared" si="10"/>
        <v>3834.0300071142128</v>
      </c>
      <c r="X63" s="291">
        <f t="shared" si="10"/>
        <v>3284.6929415797094</v>
      </c>
      <c r="Y63" s="291">
        <f t="shared" si="10"/>
        <v>4237.1465222334782</v>
      </c>
      <c r="Z63" s="291">
        <f t="shared" si="10"/>
        <v>4632.6128266738151</v>
      </c>
      <c r="AA63" s="291">
        <f t="shared" si="10"/>
        <v>4781.3442845461541</v>
      </c>
      <c r="AB63" s="291">
        <f t="shared" si="10"/>
        <v>4730.4126011134595</v>
      </c>
      <c r="AC63" s="291">
        <f t="shared" si="10"/>
        <v>4686.3459889326177</v>
      </c>
      <c r="AD63" s="291">
        <f t="shared" si="10"/>
        <v>4581.5276830233297</v>
      </c>
      <c r="AE63" s="291">
        <f t="shared" si="10"/>
        <v>4748.5266670890223</v>
      </c>
      <c r="AF63" s="291">
        <f t="shared" si="10"/>
        <v>4781.8144045771833</v>
      </c>
      <c r="AG63" s="291">
        <f t="shared" si="3"/>
        <v>4644.5849802710391</v>
      </c>
      <c r="AH63" s="291">
        <f t="shared" si="3"/>
        <v>4349.4803699569375</v>
      </c>
      <c r="AI63" s="291">
        <f t="shared" ref="AI63" si="11">AI13/AI51*1000</f>
        <v>3927.0513587462851</v>
      </c>
      <c r="AJ63" s="354">
        <f t="shared" si="5"/>
        <v>3940.2850933770706</v>
      </c>
    </row>
    <row r="64" spans="1:36" ht="15.6">
      <c r="A64" s="48" t="s">
        <v>10</v>
      </c>
      <c r="B64" s="291">
        <f t="shared" ref="B64:AD64" si="12">B39/B52*1000</f>
        <v>1789.0662649341955</v>
      </c>
      <c r="C64" s="291"/>
      <c r="D64" s="291"/>
      <c r="E64" s="291"/>
      <c r="F64" s="291"/>
      <c r="G64" s="291">
        <f t="shared" si="12"/>
        <v>2002.6151264383905</v>
      </c>
      <c r="H64" s="291"/>
      <c r="I64" s="291"/>
      <c r="J64" s="291"/>
      <c r="K64" s="291"/>
      <c r="L64" s="291">
        <f t="shared" si="12"/>
        <v>2281.2414703727418</v>
      </c>
      <c r="M64" s="291"/>
      <c r="N64" s="291"/>
      <c r="O64" s="291"/>
      <c r="P64" s="291"/>
      <c r="Q64" s="291">
        <f t="shared" si="12"/>
        <v>1950.5425112066418</v>
      </c>
      <c r="R64" s="291">
        <f t="shared" si="12"/>
        <v>2004.5751865011011</v>
      </c>
      <c r="S64" s="291">
        <f t="shared" si="12"/>
        <v>1817.9618568818958</v>
      </c>
      <c r="T64" s="291">
        <f t="shared" si="12"/>
        <v>2082.6825392392138</v>
      </c>
      <c r="U64" s="291">
        <f t="shared" si="12"/>
        <v>2259.1152816062845</v>
      </c>
      <c r="V64" s="291">
        <f t="shared" si="12"/>
        <v>2235.8397544713239</v>
      </c>
      <c r="W64" s="291">
        <f t="shared" si="12"/>
        <v>1812.4233403859889</v>
      </c>
      <c r="X64" s="291">
        <f t="shared" si="12"/>
        <v>1782.8686441236637</v>
      </c>
      <c r="Y64" s="291">
        <f t="shared" si="12"/>
        <v>2076.7068717248549</v>
      </c>
      <c r="Z64" s="291">
        <f t="shared" si="12"/>
        <v>2210.3765473954595</v>
      </c>
      <c r="AA64" s="291">
        <f t="shared" si="12"/>
        <v>1962.5224228667169</v>
      </c>
      <c r="AB64" s="291">
        <f t="shared" si="12"/>
        <v>1919.0340725634783</v>
      </c>
      <c r="AC64" s="291">
        <f t="shared" si="12"/>
        <v>1815.5953786560344</v>
      </c>
      <c r="AD64" s="291">
        <f t="shared" si="12"/>
        <v>1964.174299162348</v>
      </c>
      <c r="AE64" s="291">
        <f t="shared" ref="AE64:AJ64" si="13">AE39/AE52*1000</f>
        <v>1947.9853425650776</v>
      </c>
      <c r="AF64" s="291">
        <f t="shared" si="13"/>
        <v>1930.5348370778131</v>
      </c>
      <c r="AG64" s="291">
        <f t="shared" si="13"/>
        <v>1877.8138837425802</v>
      </c>
      <c r="AH64" s="291">
        <f t="shared" si="13"/>
        <v>1545.6514096219009</v>
      </c>
      <c r="AI64" s="291">
        <f t="shared" ref="AI64" si="14">AI39/AI52*1000</f>
        <v>1624.553125817521</v>
      </c>
      <c r="AJ64" s="354">
        <f t="shared" si="13"/>
        <v>1664.2376157335507</v>
      </c>
    </row>
    <row r="65" spans="2:36">
      <c r="B65" s="200"/>
      <c r="AA65" s="200"/>
    </row>
    <row r="67" spans="2:36">
      <c r="Q67" s="177"/>
      <c r="R67" s="177"/>
      <c r="S67" s="177"/>
      <c r="T67" s="177"/>
      <c r="U67" s="177"/>
      <c r="V67" s="177"/>
      <c r="W67" s="177"/>
      <c r="X67" s="177"/>
      <c r="Y67" s="177"/>
      <c r="Z67" s="177"/>
      <c r="AA67" s="177"/>
      <c r="AB67" s="177"/>
      <c r="AC67" s="177"/>
      <c r="AD67" s="347"/>
      <c r="AE67" s="347"/>
      <c r="AF67" s="347"/>
      <c r="AG67" s="347"/>
      <c r="AH67" s="347"/>
      <c r="AI67" s="347"/>
      <c r="AJ67" s="347"/>
    </row>
    <row r="68" spans="2:36">
      <c r="Q68" s="200"/>
      <c r="R68" s="200"/>
      <c r="S68" s="200"/>
      <c r="T68" s="200"/>
      <c r="U68" s="200"/>
      <c r="V68" s="200"/>
      <c r="W68" s="200"/>
      <c r="X68" s="200"/>
      <c r="Y68" s="200"/>
      <c r="Z68" s="200"/>
      <c r="AA68" s="200"/>
      <c r="AB68" s="200"/>
      <c r="AC68" s="200"/>
      <c r="AD68" s="351"/>
      <c r="AE68" s="351"/>
      <c r="AF68" s="351"/>
      <c r="AG68" s="351"/>
      <c r="AH68" s="351"/>
      <c r="AI68" s="351"/>
      <c r="AJ68" s="351"/>
    </row>
    <row r="69" spans="2:36">
      <c r="B69" s="208"/>
      <c r="C69" s="208"/>
      <c r="D69" s="208"/>
      <c r="E69" s="208"/>
      <c r="F69" s="208"/>
      <c r="G69" s="208"/>
      <c r="H69" s="208"/>
      <c r="I69" s="208"/>
      <c r="J69" s="208"/>
      <c r="K69" s="208"/>
      <c r="L69" s="208"/>
      <c r="M69" s="208"/>
      <c r="N69" s="208"/>
      <c r="O69" s="208"/>
      <c r="P69" s="208"/>
    </row>
    <row r="70" spans="2:36">
      <c r="Q70" s="207"/>
    </row>
  </sheetData>
  <mergeCells count="4">
    <mergeCell ref="A4:A5"/>
    <mergeCell ref="A44:A45"/>
    <mergeCell ref="A57:A58"/>
    <mergeCell ref="A40:AE40"/>
  </mergeCells>
  <hyperlinks>
    <hyperlink ref="A1" location="Indice!A1" display="Torna indietro" xr:uid="{00000000-0004-0000-07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33</vt:i4>
      </vt:variant>
    </vt:vector>
  </HeadingPairs>
  <TitlesOfParts>
    <vt:vector size="33" baseType="lpstr">
      <vt:lpstr>Copertina</vt:lpstr>
      <vt:lpstr>Indice</vt: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5-x</vt:lpstr>
      <vt:lpstr>6-x</vt:lpstr>
      <vt:lpstr>6-y</vt:lpstr>
      <vt:lpstr>25x</vt:lpstr>
      <vt:lpstr>lorda</vt:lpstr>
      <vt:lpstr>Other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dc:creator>
  <cp:lastModifiedBy>Caputo Antonio</cp:lastModifiedBy>
  <dcterms:created xsi:type="dcterms:W3CDTF">2012-03-05T11:18:42Z</dcterms:created>
  <dcterms:modified xsi:type="dcterms:W3CDTF">2025-05-06T12:52:38Z</dcterms:modified>
</cp:coreProperties>
</file>